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Прун ВВ\Расчетные таблицы по всем системам\"/>
    </mc:Choice>
  </mc:AlternateContent>
  <workbookProtection workbookAlgorithmName="SHA-512" workbookHashValue="LP5WMEEqExk504Vbg5NmAUI5FulmcMPyn73/gpWfKXv59sVE1DVJNmJjee2cd2xMk8ooZL4mKM8y1DU+/O3/OA==" workbookSaltValue="xGS/O6TuGX/i1qz3eEb9XA==" workbookSpinCount="100000" lockStructure="1"/>
  <bookViews>
    <workbookView xWindow="0" yWindow="0" windowWidth="20490" windowHeight="8205" tabRatio="681"/>
  </bookViews>
  <sheets>
    <sheet name="ОГЛАВЛЕНИЕ" sheetId="7" r:id="rId1"/>
    <sheet name="Подвесная" sheetId="5" r:id="rId2"/>
    <sheet name="Складная" sheetId="4" r:id="rId3"/>
    <sheet name="Распашная" sheetId="3" r:id="rId4"/>
    <sheet name="Стационарная" sheetId="1" r:id="rId5"/>
  </sheets>
  <calcPr calcId="162913"/>
</workbook>
</file>

<file path=xl/calcChain.xml><?xml version="1.0" encoding="utf-8"?>
<calcChain xmlns="http://schemas.openxmlformats.org/spreadsheetml/2006/main">
  <c r="G29" i="4" l="1"/>
  <c r="G30" i="4"/>
  <c r="G31" i="4"/>
  <c r="G28" i="4"/>
  <c r="U28" i="1" l="1"/>
  <c r="U27" i="1"/>
  <c r="U26" i="1"/>
  <c r="U25" i="1"/>
  <c r="Q14" i="3"/>
  <c r="N30" i="1" l="1"/>
  <c r="N29" i="1"/>
  <c r="G26" i="1"/>
  <c r="G27" i="1"/>
  <c r="G28" i="1"/>
  <c r="G25" i="1"/>
  <c r="G24" i="1"/>
  <c r="N24" i="1"/>
  <c r="M17" i="1"/>
  <c r="M16" i="1"/>
  <c r="M13" i="1"/>
  <c r="M11" i="1"/>
  <c r="L16" i="1"/>
  <c r="K6" i="1"/>
  <c r="K5" i="1"/>
  <c r="C20" i="1"/>
  <c r="U16" i="1" l="1"/>
  <c r="L10" i="1"/>
  <c r="E24" i="1"/>
  <c r="F27" i="1"/>
  <c r="F25" i="1"/>
  <c r="F28" i="1"/>
  <c r="F26" i="1"/>
  <c r="F24" i="1"/>
  <c r="O16" i="1"/>
  <c r="L15" i="1"/>
  <c r="L11" i="1"/>
  <c r="U11" i="1" s="1"/>
  <c r="L14" i="1"/>
  <c r="M14" i="1" s="1"/>
  <c r="N34" i="3"/>
  <c r="N39" i="4"/>
  <c r="U24" i="1" l="1"/>
  <c r="U29" i="1" s="1"/>
  <c r="M15" i="1"/>
  <c r="U15" i="1" s="1"/>
  <c r="O11" i="1"/>
  <c r="L17" i="1"/>
  <c r="U17" i="1" s="1"/>
  <c r="I28" i="1"/>
  <c r="I27" i="1"/>
  <c r="I26" i="1"/>
  <c r="I25" i="1"/>
  <c r="O14" i="1" l="1"/>
  <c r="U14" i="1"/>
  <c r="H25" i="1"/>
  <c r="H27" i="1"/>
  <c r="H26" i="1"/>
  <c r="H28" i="1"/>
  <c r="N32" i="4"/>
  <c r="N28" i="4"/>
  <c r="N27" i="4"/>
  <c r="N24" i="4"/>
  <c r="N23" i="4"/>
  <c r="L17" i="4" l="1"/>
  <c r="L12" i="4"/>
  <c r="L11" i="4"/>
  <c r="N29" i="4"/>
  <c r="K5" i="5"/>
  <c r="K5" i="3"/>
  <c r="D5" i="3" s="1"/>
  <c r="C23" i="4"/>
  <c r="G27" i="4"/>
  <c r="I31" i="4"/>
  <c r="I30" i="4"/>
  <c r="I29" i="4"/>
  <c r="I28" i="4"/>
  <c r="N35" i="3"/>
  <c r="N30" i="3"/>
  <c r="N25" i="3"/>
  <c r="N23" i="3"/>
  <c r="N22" i="3"/>
  <c r="N21" i="3"/>
  <c r="N20" i="3"/>
  <c r="D5" i="5" l="1"/>
  <c r="D17" i="5"/>
  <c r="L13" i="4"/>
  <c r="L16" i="4"/>
  <c r="N24" i="3"/>
  <c r="L14" i="3"/>
  <c r="M13" i="3"/>
  <c r="M11" i="3"/>
  <c r="M10" i="3"/>
  <c r="I31" i="3"/>
  <c r="I30" i="3"/>
  <c r="I29" i="3"/>
  <c r="I28" i="3"/>
  <c r="C23" i="3"/>
  <c r="G31" i="3"/>
  <c r="G30" i="3"/>
  <c r="G29" i="3"/>
  <c r="G28" i="3"/>
  <c r="G27" i="3"/>
  <c r="N31" i="3" l="1"/>
  <c r="N45" i="5" l="1"/>
  <c r="N43" i="5" l="1"/>
  <c r="N39" i="5"/>
  <c r="N37" i="5"/>
  <c r="N38" i="5"/>
  <c r="N34" i="5"/>
  <c r="N30" i="5"/>
  <c r="N29" i="5"/>
  <c r="N28" i="5"/>
  <c r="N27" i="5"/>
  <c r="D20" i="5"/>
  <c r="D19" i="5"/>
  <c r="N44" i="5" s="1"/>
  <c r="M12" i="5" l="1"/>
  <c r="M11" i="5"/>
  <c r="M10" i="5"/>
  <c r="K6" i="5" l="1"/>
  <c r="D6" i="5" s="1"/>
  <c r="L15" i="5" l="1"/>
  <c r="L11" i="5"/>
  <c r="N33" i="5" s="1"/>
  <c r="C10" i="5"/>
  <c r="N31" i="5" s="1"/>
  <c r="N26" i="5" s="1"/>
  <c r="I34" i="5"/>
  <c r="I35" i="5"/>
  <c r="I36" i="5"/>
  <c r="I37" i="5"/>
  <c r="G34" i="5"/>
  <c r="G35" i="5"/>
  <c r="C29" i="5"/>
  <c r="D29" i="5" s="1"/>
  <c r="O11" i="5" l="1"/>
  <c r="Q11" i="5"/>
  <c r="G37" i="5"/>
  <c r="N23" i="5"/>
  <c r="N25" i="5" s="1"/>
  <c r="L12" i="5"/>
  <c r="M14" i="5"/>
  <c r="M15" i="5" s="1"/>
  <c r="O15" i="5" s="1"/>
  <c r="M13" i="5"/>
  <c r="G36" i="5"/>
  <c r="G33" i="5"/>
  <c r="Q15" i="5" l="1"/>
  <c r="O12" i="5"/>
  <c r="Q12" i="5"/>
  <c r="N24" i="5"/>
  <c r="N32" i="5"/>
  <c r="N40" i="4" l="1"/>
  <c r="L13" i="5" l="1"/>
  <c r="O13" i="5" l="1"/>
  <c r="Q13" i="5"/>
  <c r="N13" i="5"/>
  <c r="F34" i="5"/>
  <c r="Q33" i="5" s="1"/>
  <c r="F36" i="5"/>
  <c r="Q35" i="5" s="1"/>
  <c r="F33" i="5"/>
  <c r="F35" i="5"/>
  <c r="Q34" i="5" s="1"/>
  <c r="F37" i="5"/>
  <c r="Q36" i="5" s="1"/>
  <c r="K6" i="4"/>
  <c r="D6" i="1"/>
  <c r="K6" i="3"/>
  <c r="D6" i="3" l="1"/>
  <c r="E27" i="3"/>
  <c r="D6" i="4"/>
  <c r="N37" i="4"/>
  <c r="N38" i="4"/>
  <c r="L10" i="4"/>
  <c r="L10" i="3"/>
  <c r="Q10" i="3" s="1"/>
  <c r="L10" i="5"/>
  <c r="Q10" i="5" s="1"/>
  <c r="E33" i="5"/>
  <c r="N36" i="5" s="1"/>
  <c r="M12" i="1"/>
  <c r="N25" i="1" s="1"/>
  <c r="M10" i="1"/>
  <c r="U10" i="1" s="1"/>
  <c r="N31" i="1" l="1"/>
  <c r="N32" i="3"/>
  <c r="N33" i="3" s="1"/>
  <c r="Q32" i="5"/>
  <c r="Q37" i="5" s="1"/>
  <c r="N32" i="1"/>
  <c r="N28" i="1"/>
  <c r="N26" i="1"/>
  <c r="N27" i="1"/>
  <c r="D5" i="1"/>
  <c r="I24" i="1"/>
  <c r="C30" i="1" s="1"/>
  <c r="H24" i="1"/>
  <c r="H29" i="1" s="1"/>
  <c r="N16" i="1"/>
  <c r="I27" i="3"/>
  <c r="C37" i="3" s="1"/>
  <c r="I33" i="5"/>
  <c r="C43" i="5" s="1"/>
  <c r="N35" i="5"/>
  <c r="N41" i="5"/>
  <c r="N40" i="5"/>
  <c r="N11" i="5"/>
  <c r="L12" i="1"/>
  <c r="U12" i="1" s="1"/>
  <c r="L13" i="1"/>
  <c r="U13" i="1" s="1"/>
  <c r="U18" i="1" l="1"/>
  <c r="U33" i="1" s="1"/>
  <c r="H34" i="1" s="1"/>
  <c r="N13" i="1"/>
  <c r="O13" i="1"/>
  <c r="N12" i="1"/>
  <c r="O12" i="1"/>
  <c r="E30" i="1"/>
  <c r="C34" i="1"/>
  <c r="C33" i="3"/>
  <c r="E33" i="3" s="1"/>
  <c r="N42" i="5"/>
  <c r="H36" i="5"/>
  <c r="H37" i="5"/>
  <c r="H35" i="5"/>
  <c r="C39" i="5"/>
  <c r="D39" i="5" s="1"/>
  <c r="H34" i="5"/>
  <c r="H33" i="5"/>
  <c r="N14" i="1"/>
  <c r="N11" i="1"/>
  <c r="N12" i="5"/>
  <c r="M12" i="3"/>
  <c r="N26" i="3" s="1"/>
  <c r="N29" i="3" l="1"/>
  <c r="F29" i="3"/>
  <c r="F31" i="3"/>
  <c r="N27" i="3" s="1"/>
  <c r="F28" i="3"/>
  <c r="F30" i="3"/>
  <c r="F27" i="3"/>
  <c r="Q18" i="3" s="1"/>
  <c r="H38" i="5"/>
  <c r="O17" i="1"/>
  <c r="N17" i="1"/>
  <c r="L13" i="3"/>
  <c r="Q13" i="3" s="1"/>
  <c r="M13" i="4"/>
  <c r="M12" i="4"/>
  <c r="T12" i="4" s="1"/>
  <c r="M17" i="4"/>
  <c r="M16" i="4"/>
  <c r="T16" i="4" s="1"/>
  <c r="M15" i="4"/>
  <c r="M14" i="4"/>
  <c r="N30" i="4"/>
  <c r="O13" i="4" l="1"/>
  <c r="T13" i="4"/>
  <c r="H28" i="3"/>
  <c r="Q19" i="3"/>
  <c r="H29" i="3"/>
  <c r="Q20" i="3"/>
  <c r="H30" i="3"/>
  <c r="Q21" i="3"/>
  <c r="H31" i="3"/>
  <c r="Q22" i="3"/>
  <c r="O17" i="4"/>
  <c r="T17" i="4"/>
  <c r="O16" i="4"/>
  <c r="N35" i="4"/>
  <c r="H27" i="3"/>
  <c r="N28" i="3"/>
  <c r="N13" i="3"/>
  <c r="O13" i="3"/>
  <c r="H32" i="3"/>
  <c r="Q23" i="3" l="1"/>
  <c r="M14" i="3"/>
  <c r="O14" i="3" s="1"/>
  <c r="N15" i="5" l="1"/>
  <c r="M11" i="4"/>
  <c r="T11" i="4" s="1"/>
  <c r="N12" i="4"/>
  <c r="N31" i="4"/>
  <c r="O11" i="4" l="1"/>
  <c r="O12" i="4"/>
  <c r="N11" i="4"/>
  <c r="N17" i="4"/>
  <c r="N14" i="3"/>
  <c r="O10" i="5"/>
  <c r="O10" i="1"/>
  <c r="O10" i="3"/>
  <c r="L12" i="3"/>
  <c r="Q12" i="3" s="1"/>
  <c r="L14" i="5"/>
  <c r="L11" i="3"/>
  <c r="Q11" i="3" s="1"/>
  <c r="Q15" i="3" s="1"/>
  <c r="Q27" i="3" s="1"/>
  <c r="H37" i="3" s="1"/>
  <c r="O14" i="5" l="1"/>
  <c r="Q14" i="5"/>
  <c r="Q16" i="5" s="1"/>
  <c r="N11" i="3"/>
  <c r="O11" i="3"/>
  <c r="N12" i="3"/>
  <c r="O12" i="3"/>
  <c r="N13" i="4"/>
  <c r="N16" i="4"/>
  <c r="N14" i="5"/>
  <c r="N25" i="4"/>
  <c r="N26" i="4"/>
  <c r="M10" i="4"/>
  <c r="T10" i="4" s="1"/>
  <c r="K5" i="4"/>
  <c r="F30" i="4" s="1"/>
  <c r="T27" i="4" s="1"/>
  <c r="E27" i="4"/>
  <c r="O10" i="4" l="1"/>
  <c r="Q41" i="5"/>
  <c r="H43" i="5" s="1"/>
  <c r="H30" i="4"/>
  <c r="I27" i="4"/>
  <c r="L15" i="4"/>
  <c r="T15" i="4" s="1"/>
  <c r="F27" i="4"/>
  <c r="T24" i="4" s="1"/>
  <c r="N36" i="4"/>
  <c r="F28" i="4"/>
  <c r="T25" i="4" s="1"/>
  <c r="F29" i="4"/>
  <c r="T26" i="4" s="1"/>
  <c r="H27" i="4"/>
  <c r="F31" i="4"/>
  <c r="T28" i="4" s="1"/>
  <c r="D5" i="4"/>
  <c r="L14" i="4"/>
  <c r="T14" i="4" s="1"/>
  <c r="T18" i="4" s="1"/>
  <c r="H29" i="4" l="1"/>
  <c r="H28" i="4"/>
  <c r="N34" i="4"/>
  <c r="T29" i="4"/>
  <c r="T33" i="4" s="1"/>
  <c r="C33" i="4"/>
  <c r="E33" i="4" s="1"/>
  <c r="C37" i="4"/>
  <c r="O14" i="4"/>
  <c r="N14" i="4"/>
  <c r="N33" i="4"/>
  <c r="H31" i="4"/>
  <c r="N15" i="4"/>
  <c r="O15" i="4"/>
  <c r="H32" i="4" l="1"/>
  <c r="H38" i="4"/>
</calcChain>
</file>

<file path=xl/sharedStrings.xml><?xml version="1.0" encoding="utf-8"?>
<sst xmlns="http://schemas.openxmlformats.org/spreadsheetml/2006/main" count="570" uniqueCount="213">
  <si>
    <t>наименование</t>
  </si>
  <si>
    <t>артикул</t>
  </si>
  <si>
    <t>вертикальный профиль</t>
  </si>
  <si>
    <t>CKRU 0413</t>
  </si>
  <si>
    <t>рамка верхняя</t>
  </si>
  <si>
    <t>CKRU 0409</t>
  </si>
  <si>
    <t>рамка нижняя</t>
  </si>
  <si>
    <t>CKRU 0408</t>
  </si>
  <si>
    <t>рамка средняя</t>
  </si>
  <si>
    <t>CKRU 0412</t>
  </si>
  <si>
    <t>критерий</t>
  </si>
  <si>
    <t>направляющая верхняя</t>
  </si>
  <si>
    <t>CKRU 0410</t>
  </si>
  <si>
    <t>накладка декоративная</t>
  </si>
  <si>
    <t>профиль "П"</t>
  </si>
  <si>
    <t>CKRU 0001</t>
  </si>
  <si>
    <t>размер</t>
  </si>
  <si>
    <t>количество</t>
  </si>
  <si>
    <t>деталей</t>
  </si>
  <si>
    <t>ЛДСП, 10 мм</t>
  </si>
  <si>
    <t>ЛДСП, 8 мм</t>
  </si>
  <si>
    <t>Стекло, зеркало 4 мм</t>
  </si>
  <si>
    <t>горизонтальные</t>
  </si>
  <si>
    <t>ЗАПОЛНИТЕ ИСХОДНЫЕ:</t>
  </si>
  <si>
    <t>значение</t>
  </si>
  <si>
    <t>высота перегородки:</t>
  </si>
  <si>
    <t>ширина перегородки:</t>
  </si>
  <si>
    <t>пояснения</t>
  </si>
  <si>
    <t>ФУРНИТУРА:</t>
  </si>
  <si>
    <t>высота одной двери:</t>
  </si>
  <si>
    <t>ширина одной двери:</t>
  </si>
  <si>
    <t>ручка-рейлинг</t>
  </si>
  <si>
    <t>CKRU 0418</t>
  </si>
  <si>
    <t>ФУРНИТУРА ДЛЯ ОДНОЙ ДВЕРИ:</t>
  </si>
  <si>
    <t>высота створки двери:</t>
  </si>
  <si>
    <t>ширина створки двери:</t>
  </si>
  <si>
    <t>CKRU 0107</t>
  </si>
  <si>
    <t>ARSK 01</t>
  </si>
  <si>
    <t>высота двери:</t>
  </si>
  <si>
    <t>ширина двери:</t>
  </si>
  <si>
    <r>
      <t xml:space="preserve">ФУРНИТУРА ДЛЯ </t>
    </r>
    <r>
      <rPr>
        <b/>
        <sz val="12"/>
        <color rgb="FFC00000"/>
        <rFont val="Calibri"/>
        <family val="2"/>
        <charset val="204"/>
        <scheme val="minor"/>
      </rPr>
      <t>ВСЕЙ ПЕРЕГОРОДКИ</t>
    </r>
    <r>
      <rPr>
        <b/>
        <sz val="12"/>
        <rFont val="Calibri"/>
        <family val="2"/>
        <charset val="204"/>
        <scheme val="minor"/>
      </rPr>
      <t>:</t>
    </r>
  </si>
  <si>
    <t>ОТВЕРСТИЯ ПОД СБОРОЧНЫЕ ВИНТЫ:</t>
  </si>
  <si>
    <t>не более двух</t>
  </si>
  <si>
    <t>Механизм последовательного открывания левый</t>
  </si>
  <si>
    <t>Механизм синхронного открывания</t>
  </si>
  <si>
    <t>кол-во хлыстов</t>
  </si>
  <si>
    <t>Хром матовый</t>
  </si>
  <si>
    <t xml:space="preserve">Венге темный </t>
  </si>
  <si>
    <t>Дуб белый</t>
  </si>
  <si>
    <t>Держатель ручки-рейлинг</t>
  </si>
  <si>
    <t>ARRP-03</t>
  </si>
  <si>
    <t>Доводчик для подвесной системы</t>
  </si>
  <si>
    <t>ARPP10</t>
  </si>
  <si>
    <t>Заглушка для ручки-рейлинг</t>
  </si>
  <si>
    <t>ARPP-08</t>
  </si>
  <si>
    <t>ARPP-04 A</t>
  </si>
  <si>
    <t>ARPP06/L</t>
  </si>
  <si>
    <t xml:space="preserve">Механизм последовательного открывания правый </t>
  </si>
  <si>
    <t>ARPP06/R</t>
  </si>
  <si>
    <t>Механизм распашной, шкафной</t>
  </si>
  <si>
    <t>ARRP-01</t>
  </si>
  <si>
    <t xml:space="preserve">Ножка регулируемая </t>
  </si>
  <si>
    <t>ARSP-01</t>
  </si>
  <si>
    <t>Ограничитель складной двери</t>
  </si>
  <si>
    <t xml:space="preserve">Опора верхняя, неподвижная </t>
  </si>
  <si>
    <t>ARSK-09</t>
  </si>
  <si>
    <t>ARSK-07</t>
  </si>
  <si>
    <t>Петля</t>
  </si>
  <si>
    <t>ARSK-05</t>
  </si>
  <si>
    <t>Подвес верхней направляющей</t>
  </si>
  <si>
    <t>ARPP-02</t>
  </si>
  <si>
    <t>Ролик верхний складной системы</t>
  </si>
  <si>
    <t>Ролик нижний с площадкой</t>
  </si>
  <si>
    <t>ARPP-03</t>
  </si>
  <si>
    <t>ARPP-07</t>
  </si>
  <si>
    <t>Саморез L= 46</t>
  </si>
  <si>
    <t>L- 46 мм</t>
  </si>
  <si>
    <t>Стопор распашного механизма</t>
  </si>
  <si>
    <t>ARRP-02</t>
  </si>
  <si>
    <t>Стопор для подвесной системы</t>
  </si>
  <si>
    <t>ARPP-05 B</t>
  </si>
  <si>
    <t>Стопор для складной системы</t>
  </si>
  <si>
    <t>ARSK04</t>
  </si>
  <si>
    <t>Уплотнитель полиуретановый</t>
  </si>
  <si>
    <t>W-QL</t>
  </si>
  <si>
    <t>Расчет размеров, количества и стоимости для подвесной перегородки</t>
  </si>
  <si>
    <t>Оглавление</t>
  </si>
  <si>
    <t>цена 1 кв.м.</t>
  </si>
  <si>
    <t xml:space="preserve">Общая стоимость наполнения:   </t>
  </si>
  <si>
    <r>
      <t xml:space="preserve">ПРОФИЛИ ДЛЯ </t>
    </r>
    <r>
      <rPr>
        <b/>
        <sz val="12"/>
        <color rgb="FFC00000"/>
        <rFont val="Calibri"/>
        <family val="2"/>
        <charset val="204"/>
        <scheme val="minor"/>
      </rPr>
      <t>ВСЕЙ ПЕРЕГОРОДКИ</t>
    </r>
    <r>
      <rPr>
        <b/>
        <sz val="12"/>
        <rFont val="Calibri"/>
        <family val="2"/>
        <charset val="204"/>
        <scheme val="minor"/>
      </rPr>
      <t>:</t>
    </r>
  </si>
  <si>
    <t>Заглушка дверная</t>
  </si>
  <si>
    <t>Саморез</t>
  </si>
  <si>
    <t>Уплотнитель П-образный 8 мм</t>
  </si>
  <si>
    <t>Уплотнитель резиновый 4 мм</t>
  </si>
  <si>
    <t>ПРОФИЛИ ДЛЯ ОДНОЙ ДВЕРИ:</t>
  </si>
  <si>
    <t>ПРОФИЛИ:</t>
  </si>
  <si>
    <t>ARRP-04</t>
  </si>
  <si>
    <t>левое</t>
  </si>
  <si>
    <t>правое</t>
  </si>
  <si>
    <t>Опора нижняя, левая</t>
  </si>
  <si>
    <t xml:space="preserve">Опора нижняя, правая </t>
  </si>
  <si>
    <t>с однополозной направляющей</t>
  </si>
  <si>
    <t>с профилем "П" и декоративной накладкой</t>
  </si>
  <si>
    <t>на регулируемых ножках без профиля "П"</t>
  </si>
  <si>
    <t>с профилем "П" без декоративной накладки</t>
  </si>
  <si>
    <t>с профилем "П" и дек. накладкой совместно с подвесной системой</t>
  </si>
  <si>
    <t>не учитывается в варианте с подвесной системой</t>
  </si>
  <si>
    <t xml:space="preserve"> </t>
  </si>
  <si>
    <t>однодверная, настенная</t>
  </si>
  <si>
    <t>двухдверная, настенная</t>
  </si>
  <si>
    <t>двухдверная, в проем (шкаф-купе)</t>
  </si>
  <si>
    <t>да</t>
  </si>
  <si>
    <t>нет</t>
  </si>
  <si>
    <r>
      <t xml:space="preserve">РАЗМЕРЫ </t>
    </r>
    <r>
      <rPr>
        <b/>
        <sz val="12"/>
        <color rgb="FFC00000"/>
        <rFont val="Calibri"/>
        <family val="2"/>
        <charset val="204"/>
        <scheme val="minor"/>
      </rPr>
      <t>ОДНОЙ ДВЕРИ</t>
    </r>
    <r>
      <rPr>
        <b/>
        <sz val="12"/>
        <rFont val="Calibri"/>
        <family val="2"/>
        <charset val="204"/>
        <scheme val="minor"/>
      </rPr>
      <t>:</t>
    </r>
  </si>
  <si>
    <r>
      <t xml:space="preserve">ПРОФИЛИ ДЛЯ </t>
    </r>
    <r>
      <rPr>
        <b/>
        <sz val="12"/>
        <color rgb="FFC00000"/>
        <rFont val="Calibri"/>
        <family val="2"/>
        <charset val="204"/>
        <scheme val="minor"/>
      </rPr>
      <t>ОДНОЙ ДВЕРИ</t>
    </r>
    <r>
      <rPr>
        <b/>
        <sz val="12"/>
        <rFont val="Calibri"/>
        <family val="2"/>
        <charset val="204"/>
        <scheme val="minor"/>
      </rPr>
      <t>:</t>
    </r>
  </si>
  <si>
    <t>Расчет размеров, количества и стоимости для распашной перегородки</t>
  </si>
  <si>
    <t>Расчет размеров, количества и стоимости для стационарной перегородки</t>
  </si>
  <si>
    <t>Расчет размеров, количества и стоимости для складной перегородки</t>
  </si>
  <si>
    <t>общая длина деталей</t>
  </si>
  <si>
    <t>ВВОД ИСХОДНЫХ ДАННЫХ ДЛЯ РАСЧЁТА</t>
  </si>
  <si>
    <t>РЕЗУЛЬТАТ РАСЧЁТА</t>
  </si>
  <si>
    <t>последовательное открывание (перекрытие проема, откат дверей за проем)</t>
  </si>
  <si>
    <t>Количество вставок:</t>
  </si>
  <si>
    <t>Наполнение</t>
  </si>
  <si>
    <t>Материал</t>
  </si>
  <si>
    <t>Высота</t>
  </si>
  <si>
    <t>Ширина</t>
  </si>
  <si>
    <t>Вставка 1 (считается автоматически)</t>
  </si>
  <si>
    <t>Вставка 2</t>
  </si>
  <si>
    <t>Вставка 3</t>
  </si>
  <si>
    <t>Вставка 4</t>
  </si>
  <si>
    <t>Вставка 5 (низ двери)</t>
  </si>
  <si>
    <t>Не рекомендуем</t>
  </si>
  <si>
    <t>общее количество дверей</t>
  </si>
  <si>
    <t>Неверно внесены высоты вставок</t>
  </si>
  <si>
    <t>Верно внесены высоты вставок</t>
  </si>
  <si>
    <t>Ширина проема</t>
  </si>
  <si>
    <t>Высота проема</t>
  </si>
  <si>
    <t>Количество средних рамок</t>
  </si>
  <si>
    <t>Цвет профиля</t>
  </si>
  <si>
    <t>Вариант установки</t>
  </si>
  <si>
    <t>Количество дверей</t>
  </si>
  <si>
    <t>Последовательное открывание</t>
  </si>
  <si>
    <t>Ручка врезная</t>
  </si>
  <si>
    <t>Укажите высоту Вставки 5 (низ двери)</t>
  </si>
  <si>
    <t>Кол-во</t>
  </si>
  <si>
    <t>Стоимость</t>
  </si>
  <si>
    <t>Шлегель</t>
  </si>
  <si>
    <t>Механизм синхронного последовательного открывания</t>
  </si>
  <si>
    <t>синхронно открываются только две двери</t>
  </si>
  <si>
    <t>последовательное открывание (двери в проеме, одна дверь статичная)</t>
  </si>
  <si>
    <t>Черный матовый</t>
  </si>
  <si>
    <t>Белый матовый</t>
  </si>
  <si>
    <t>ARPP-01 С</t>
  </si>
  <si>
    <t>с декоративной накладкой</t>
  </si>
  <si>
    <t>для двухдверной настенной и двухдверной совместно со стационарными</t>
  </si>
  <si>
    <t>двухдверная, в проем (совместно со стационарными перегородками)</t>
  </si>
  <si>
    <t>Механизм последовательного синхронного открывания</t>
  </si>
  <si>
    <t>Элемент, скрывающий отверстия</t>
  </si>
  <si>
    <t>Ограничитель складной</t>
  </si>
  <si>
    <t>Ролик верхний с креплением</t>
  </si>
  <si>
    <t>ARPP-09 B</t>
  </si>
  <si>
    <r>
      <t xml:space="preserve">Расстояние от края вертикального профиля до центра отверстия под сборочный винт равно </t>
    </r>
    <r>
      <rPr>
        <b/>
        <sz val="14"/>
        <color rgb="FFC00000"/>
        <rFont val="Calibri"/>
        <family val="2"/>
        <charset val="204"/>
        <scheme val="minor"/>
      </rPr>
      <t>17 мм</t>
    </r>
    <r>
      <rPr>
        <sz val="14"/>
        <color theme="1"/>
        <rFont val="Calibri"/>
        <family val="2"/>
        <charset val="204"/>
        <scheme val="minor"/>
      </rPr>
      <t xml:space="preserve">. Диаметры отверстий: внутренний равен </t>
    </r>
    <r>
      <rPr>
        <b/>
        <sz val="14"/>
        <color rgb="FFC00000"/>
        <rFont val="Calibri"/>
        <family val="2"/>
        <charset val="204"/>
        <scheme val="minor"/>
      </rPr>
      <t>5,5 мм</t>
    </r>
    <r>
      <rPr>
        <sz val="14"/>
        <color theme="1"/>
        <rFont val="Calibri"/>
        <family val="2"/>
        <charset val="204"/>
        <scheme val="minor"/>
      </rPr>
      <t xml:space="preserve">; внешний равен </t>
    </r>
    <r>
      <rPr>
        <b/>
        <sz val="14"/>
        <color rgb="FFC00000"/>
        <rFont val="Calibri"/>
        <family val="2"/>
        <charset val="204"/>
        <scheme val="minor"/>
      </rPr>
      <t>9 мм</t>
    </r>
    <r>
      <rPr>
        <sz val="14"/>
        <color theme="1"/>
        <rFont val="Calibri"/>
        <family val="2"/>
        <charset val="204"/>
        <scheme val="minor"/>
      </rPr>
      <t>.</t>
    </r>
  </si>
  <si>
    <t>Для расчёта размеров и количества комплектующих введите данные в таблицу:</t>
  </si>
  <si>
    <t>ARPP22</t>
  </si>
  <si>
    <t>AB-75</t>
  </si>
  <si>
    <t>Заглушка торцевая для верхней направляющей</t>
  </si>
  <si>
    <t>П-8мм</t>
  </si>
  <si>
    <t>R-04</t>
  </si>
  <si>
    <t>AB-53</t>
  </si>
  <si>
    <t>Прищепка</t>
  </si>
  <si>
    <t>АМ04</t>
  </si>
  <si>
    <t>Регулировочная пластина</t>
  </si>
  <si>
    <t>ARPP-03 RP</t>
  </si>
  <si>
    <t>MT/ST 9*5-6P6L</t>
  </si>
  <si>
    <t>Замок для дверей в одной плоскости</t>
  </si>
  <si>
    <t>Замок для дверей в двух плоскостях</t>
  </si>
  <si>
    <t>ARPP12</t>
  </si>
  <si>
    <t>ARPP11</t>
  </si>
  <si>
    <t>для последовательного открывания</t>
  </si>
  <si>
    <t>необходима для выравнивания кривизны проема, максимально 20 шт</t>
  </si>
  <si>
    <t>Доводчик</t>
  </si>
  <si>
    <t>для последовательного открывания, максимально 5 шт
для варианта со статичной дверью минимально 3 шт</t>
  </si>
  <si>
    <t>ARSK02/ARSK02 PVC</t>
  </si>
  <si>
    <t>Oграничитель складной двери, серый</t>
  </si>
  <si>
    <t>Фиксирующий элемент</t>
  </si>
  <si>
    <t>Защелка магнитная, возвратная</t>
  </si>
  <si>
    <t>Защелка магнитная, невозвратная</t>
  </si>
  <si>
    <t>элемент, котрый фиксирует створку при закрывании</t>
  </si>
  <si>
    <t>AB-20 DZ</t>
  </si>
  <si>
    <t>202-1B DZ</t>
  </si>
  <si>
    <t>Регулировочная пластина для нижнего ролика подвесной системы</t>
  </si>
  <si>
    <t>Регулировочная пластина для распашного механизма</t>
  </si>
  <si>
    <t>фиксируется на боковой поверхности профиля</t>
  </si>
  <si>
    <t>Длина ручки-рейлинг</t>
  </si>
  <si>
    <t>длина от 150 до высоты вертикального профиля</t>
  </si>
  <si>
    <t>Открывание двери</t>
  </si>
  <si>
    <t>указывается для одной двери</t>
  </si>
  <si>
    <t>Элемент, скрывающий отверстия в центре конструкции</t>
  </si>
  <si>
    <t>Элемент, скрывающий отверстия по краям конструкции</t>
  </si>
  <si>
    <t>фиксируется на боковой поверхности профиля по краям конструкции</t>
  </si>
  <si>
    <t>указывается для двух дверей
фиксируется на боковой поверхности профиля в центре конструкции</t>
  </si>
  <si>
    <r>
      <t xml:space="preserve">РАЗМЕРЫ </t>
    </r>
    <r>
      <rPr>
        <b/>
        <sz val="12"/>
        <color rgb="FFC00000"/>
        <rFont val="Calibri"/>
        <family val="2"/>
        <charset val="204"/>
        <scheme val="minor"/>
      </rPr>
      <t>ОДНОЙ СТВОРКИ</t>
    </r>
    <r>
      <rPr>
        <b/>
        <sz val="12"/>
        <rFont val="Calibri"/>
        <family val="2"/>
        <charset val="204"/>
        <scheme val="minor"/>
      </rPr>
      <t>:</t>
    </r>
  </si>
  <si>
    <t>не рекомендуем, ширина двери должна быть от 600 мм до 1200 мм</t>
  </si>
  <si>
    <t>допустимо</t>
  </si>
  <si>
    <t>невозможно установить, ширина двери должна быть не менее 650 мм</t>
  </si>
  <si>
    <t>Заглушка торцевая вертикального профиля</t>
  </si>
  <si>
    <t>не рекомендуем, высота двери до 3200 мм</t>
  </si>
  <si>
    <t>не рекомендуем, ширина створки двери от 300 мм до 600 мм</t>
  </si>
  <si>
    <t>не рекомендуем, ширина двери должна быть от 200 мм до 700 мм</t>
  </si>
  <si>
    <t>Вес двери:</t>
  </si>
  <si>
    <t>CKRU 0592</t>
  </si>
  <si>
    <t>ARSK-03В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</si>
</sst>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#,##0&quot; мм.&quot;"/>
    <numFmt numFmtId="165" formatCode="#,##0&quot; шт.&quot;"/>
    <numFmt numFmtId="166" formatCode="#,##0.00&quot;р.&quot;"/>
    <numFmt numFmtId="167" formatCode="#,##0.0&quot; мм.&quot;"/>
    <numFmt numFmtId="168" formatCode="#,##0&quot; комп.&quot;"/>
    <numFmt numFmtId="169" formatCode="#,##0.00\ &quot;р.&quot;"/>
    <numFmt numFmtId="170" formatCode="#,##0.00&quot; шт.&quot;"/>
    <numFmt numFmtId="171" formatCode="#,##0&quot; мм&quot;"/>
    <numFmt numFmtId="172" formatCode="#,##0&quot; м.&quot;"/>
    <numFmt numFmtId="173" formatCode="0.000"/>
    <numFmt numFmtId="174" formatCode="#,##0&quot; кг.&quot;"/>
  </numFmts>
  <fonts count="3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theme="6" tint="-0.499984740745262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6" tint="-0.499984740745262"/>
      <name val="Calibri"/>
      <family val="2"/>
      <charset val="204"/>
      <scheme val="minor"/>
    </font>
    <font>
      <sz val="10"/>
      <color rgb="FFFFFFFF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u/>
      <sz val="9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4"/>
      <color rgb="FFFFFFFF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6">
    <xf numFmtId="0" fontId="0" fillId="0" borderId="0"/>
    <xf numFmtId="0" fontId="6" fillId="0" borderId="0"/>
    <xf numFmtId="0" fontId="11" fillId="0" borderId="0" applyNumberForma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</cellStyleXfs>
  <cellXfs count="333">
    <xf numFmtId="0" fontId="0" fillId="0" borderId="0" xfId="0"/>
    <xf numFmtId="0" fontId="0" fillId="3" borderId="11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13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14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0" xfId="0" applyFill="1"/>
    <xf numFmtId="165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164" fontId="3" fillId="4" borderId="1" xfId="0" applyNumberFormat="1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164" fontId="0" fillId="0" borderId="1" xfId="0" applyNumberFormat="1" applyBorder="1" applyAlignment="1" applyProtection="1">
      <alignment vertical="center"/>
    </xf>
    <xf numFmtId="165" fontId="10" fillId="4" borderId="1" xfId="0" applyNumberFormat="1" applyFont="1" applyFill="1" applyBorder="1" applyAlignment="1" applyProtection="1">
      <alignment horizontal="center" vertical="center"/>
      <protection locked="0"/>
    </xf>
    <xf numFmtId="166" fontId="14" fillId="4" borderId="1" xfId="0" applyNumberFormat="1" applyFont="1" applyFill="1" applyBorder="1" applyAlignment="1" applyProtection="1">
      <alignment horizontal="center" vertical="center"/>
      <protection locked="0"/>
    </xf>
    <xf numFmtId="166" fontId="1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0" xfId="0" applyFill="1"/>
    <xf numFmtId="0" fontId="23" fillId="4" borderId="1" xfId="0" applyFont="1" applyFill="1" applyBorder="1" applyAlignment="1" applyProtection="1">
      <alignment vertical="center"/>
      <protection locked="0"/>
    </xf>
    <xf numFmtId="171" fontId="23" fillId="5" borderId="1" xfId="0" applyNumberFormat="1" applyFont="1" applyFill="1" applyBorder="1" applyAlignment="1" applyProtection="1">
      <alignment horizontal="center" vertical="center"/>
    </xf>
    <xf numFmtId="171" fontId="23" fillId="4" borderId="1" xfId="0" applyNumberFormat="1" applyFont="1" applyFill="1" applyBorder="1" applyAlignment="1" applyProtection="1">
      <alignment horizontal="center" vertical="center"/>
      <protection locked="0"/>
    </xf>
    <xf numFmtId="165" fontId="24" fillId="0" borderId="1" xfId="0" applyNumberFormat="1" applyFont="1" applyFill="1" applyBorder="1" applyAlignment="1" applyProtection="1">
      <alignment horizontal="center" vertical="center" wrapText="1"/>
    </xf>
    <xf numFmtId="165" fontId="14" fillId="4" borderId="8" xfId="0" applyNumberFormat="1" applyFont="1" applyFill="1" applyBorder="1" applyAlignment="1" applyProtection="1">
      <alignment horizontal="center" vertical="center"/>
      <protection locked="0"/>
    </xf>
    <xf numFmtId="165" fontId="14" fillId="4" borderId="1" xfId="0" applyNumberFormat="1" applyFont="1" applyFill="1" applyBorder="1" applyAlignment="1" applyProtection="1">
      <alignment horizontal="center" vertical="center"/>
      <protection locked="0"/>
    </xf>
    <xf numFmtId="166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14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1" xfId="0" applyNumberFormat="1" applyFont="1" applyBorder="1" applyAlignment="1" applyProtection="1">
      <alignment vertical="center"/>
    </xf>
    <xf numFmtId="0" fontId="30" fillId="0" borderId="1" xfId="0" applyFont="1" applyBorder="1" applyAlignment="1" applyProtection="1">
      <alignment horizontal="center" vertical="center" wrapText="1"/>
    </xf>
    <xf numFmtId="164" fontId="14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left" vertical="center"/>
    </xf>
    <xf numFmtId="0" fontId="15" fillId="0" borderId="2" xfId="0" applyFont="1" applyBorder="1" applyAlignment="1" applyProtection="1">
      <alignment horizontal="left" vertical="center" wrapText="1"/>
    </xf>
    <xf numFmtId="0" fontId="26" fillId="0" borderId="25" xfId="0" applyFont="1" applyBorder="1" applyAlignment="1" applyProtection="1">
      <alignment horizontal="left" vertical="center"/>
    </xf>
    <xf numFmtId="166" fontId="3" fillId="4" borderId="15" xfId="0" applyNumberFormat="1" applyFont="1" applyFill="1" applyBorder="1" applyAlignment="1" applyProtection="1">
      <alignment horizontal="center" vertical="center"/>
      <protection locked="0"/>
    </xf>
    <xf numFmtId="167" fontId="0" fillId="0" borderId="0" xfId="0" applyNumberFormat="1" applyFill="1" applyBorder="1" applyAlignment="1" applyProtection="1">
      <alignment vertical="center"/>
    </xf>
    <xf numFmtId="164" fontId="0" fillId="0" borderId="0" xfId="0" applyNumberFormat="1" applyFill="1" applyBorder="1" applyAlignment="1" applyProtection="1">
      <alignment vertical="center"/>
    </xf>
    <xf numFmtId="0" fontId="16" fillId="2" borderId="2" xfId="0" applyFont="1" applyFill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right" vertical="center"/>
    </xf>
    <xf numFmtId="0" fontId="20" fillId="0" borderId="2" xfId="0" applyFont="1" applyBorder="1" applyAlignment="1" applyProtection="1">
      <alignment vertical="center"/>
    </xf>
    <xf numFmtId="165" fontId="16" fillId="0" borderId="1" xfId="0" applyNumberFormat="1" applyFont="1" applyBorder="1" applyAlignment="1" applyProtection="1">
      <alignment vertical="center"/>
    </xf>
    <xf numFmtId="0" fontId="20" fillId="0" borderId="1" xfId="0" applyFont="1" applyBorder="1" applyAlignment="1" applyProtection="1">
      <alignment vertical="center"/>
    </xf>
    <xf numFmtId="164" fontId="20" fillId="0" borderId="1" xfId="0" applyNumberFormat="1" applyFont="1" applyBorder="1" applyAlignment="1" applyProtection="1">
      <alignment horizontal="right" vertical="center"/>
    </xf>
    <xf numFmtId="165" fontId="20" fillId="0" borderId="1" xfId="0" applyNumberFormat="1" applyFont="1" applyBorder="1" applyAlignment="1" applyProtection="1">
      <alignment vertical="center"/>
    </xf>
    <xf numFmtId="164" fontId="10" fillId="0" borderId="1" xfId="0" applyNumberFormat="1" applyFont="1" applyBorder="1" applyAlignment="1" applyProtection="1">
      <alignment vertical="center"/>
    </xf>
    <xf numFmtId="0" fontId="16" fillId="2" borderId="1" xfId="0" applyFont="1" applyFill="1" applyBorder="1" applyAlignment="1" applyProtection="1">
      <alignment horizontal="center" vertical="center"/>
    </xf>
    <xf numFmtId="165" fontId="20" fillId="0" borderId="1" xfId="1" applyNumberFormat="1" applyFont="1" applyFill="1" applyBorder="1" applyAlignment="1" applyProtection="1">
      <alignment vertical="center"/>
    </xf>
    <xf numFmtId="168" fontId="20" fillId="0" borderId="1" xfId="0" applyNumberFormat="1" applyFont="1" applyFill="1" applyBorder="1" applyAlignment="1" applyProtection="1">
      <alignment horizontal="right" vertical="center"/>
    </xf>
    <xf numFmtId="165" fontId="20" fillId="0" borderId="1" xfId="0" applyNumberFormat="1" applyFont="1" applyFill="1" applyBorder="1" applyAlignment="1" applyProtection="1">
      <alignment horizontal="right" vertical="center"/>
    </xf>
    <xf numFmtId="0" fontId="29" fillId="0" borderId="1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vertical="center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4" fontId="7" fillId="4" borderId="1" xfId="0" applyNumberFormat="1" applyFont="1" applyFill="1" applyBorder="1" applyAlignment="1" applyProtection="1">
      <alignment horizontal="center" vertical="center"/>
      <protection locked="0"/>
    </xf>
    <xf numFmtId="165" fontId="7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164" fontId="14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6" fillId="0" borderId="1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vertical="center"/>
    </xf>
    <xf numFmtId="0" fontId="16" fillId="2" borderId="1" xfId="0" applyFont="1" applyFill="1" applyBorder="1" applyAlignment="1" applyProtection="1">
      <alignment horizontal="center" vertical="center"/>
    </xf>
    <xf numFmtId="165" fontId="3" fillId="0" borderId="0" xfId="0" applyNumberFormat="1" applyFont="1" applyFill="1" applyAlignment="1" applyProtection="1">
      <alignment vertical="center"/>
    </xf>
    <xf numFmtId="0" fontId="10" fillId="0" borderId="5" xfId="0" applyFont="1" applyFill="1" applyBorder="1" applyAlignment="1" applyProtection="1">
      <alignment horizontal="left" vertical="center"/>
    </xf>
    <xf numFmtId="0" fontId="16" fillId="0" borderId="0" xfId="0" applyFont="1" applyAlignment="1" applyProtection="1">
      <alignment vertical="center"/>
    </xf>
    <xf numFmtId="0" fontId="20" fillId="0" borderId="0" xfId="0" applyFont="1" applyFill="1" applyBorder="1" applyAlignment="1" applyProtection="1">
      <alignment horizontal="left" vertical="center"/>
    </xf>
    <xf numFmtId="0" fontId="26" fillId="0" borderId="2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6" fillId="2" borderId="6" xfId="0" applyFont="1" applyFill="1" applyBorder="1" applyAlignment="1" applyProtection="1">
      <alignment horizontal="center" vertical="center"/>
    </xf>
    <xf numFmtId="0" fontId="16" fillId="2" borderId="6" xfId="0" applyFont="1" applyFill="1" applyBorder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horizontal="right" vertical="center"/>
    </xf>
    <xf numFmtId="165" fontId="0" fillId="0" borderId="1" xfId="0" applyNumberFormat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26" fillId="0" borderId="2" xfId="0" applyFont="1" applyFill="1" applyBorder="1" applyAlignment="1" applyProtection="1">
      <alignment horizontal="left" vertical="center" wrapText="1"/>
    </xf>
    <xf numFmtId="164" fontId="5" fillId="0" borderId="1" xfId="0" applyNumberFormat="1" applyFont="1" applyBorder="1" applyAlignment="1" applyProtection="1">
      <alignment horizontal="right" vertical="center"/>
    </xf>
    <xf numFmtId="165" fontId="5" fillId="0" borderId="1" xfId="0" applyNumberFormat="1" applyFont="1" applyBorder="1" applyAlignment="1" applyProtection="1">
      <alignment vertical="center"/>
    </xf>
    <xf numFmtId="0" fontId="20" fillId="0" borderId="2" xfId="0" applyFont="1" applyFill="1" applyBorder="1" applyAlignment="1" applyProtection="1">
      <alignment horizontal="left" vertical="center" wrapText="1"/>
    </xf>
    <xf numFmtId="0" fontId="26" fillId="0" borderId="2" xfId="0" applyFont="1" applyBorder="1" applyAlignment="1" applyProtection="1">
      <alignment horizontal="left" vertical="center"/>
    </xf>
    <xf numFmtId="0" fontId="26" fillId="0" borderId="2" xfId="0" applyFont="1" applyBorder="1" applyAlignment="1" applyProtection="1">
      <alignment horizontal="left" vertical="center" wrapText="1"/>
    </xf>
    <xf numFmtId="0" fontId="20" fillId="0" borderId="2" xfId="0" applyFont="1" applyBorder="1" applyAlignment="1" applyProtection="1">
      <alignment horizontal="left" vertical="center" wrapText="1"/>
    </xf>
    <xf numFmtId="0" fontId="26" fillId="0" borderId="7" xfId="0" applyFont="1" applyBorder="1" applyAlignment="1" applyProtection="1">
      <alignment horizontal="left" vertical="center"/>
    </xf>
    <xf numFmtId="165" fontId="0" fillId="0" borderId="0" xfId="0" applyNumberFormat="1" applyAlignment="1" applyProtection="1">
      <alignment vertical="center"/>
    </xf>
    <xf numFmtId="166" fontId="14" fillId="0" borderId="0" xfId="0" applyNumberFormat="1" applyFont="1" applyFill="1" applyBorder="1" applyAlignment="1" applyProtection="1">
      <alignment horizontal="center" vertical="center"/>
    </xf>
    <xf numFmtId="168" fontId="20" fillId="0" borderId="1" xfId="1" applyNumberFormat="1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horizontal="center" vertical="center"/>
    </xf>
    <xf numFmtId="165" fontId="16" fillId="0" borderId="1" xfId="0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left" vertical="top"/>
    </xf>
    <xf numFmtId="0" fontId="23" fillId="0" borderId="0" xfId="0" applyFont="1" applyAlignment="1" applyProtection="1">
      <alignment horizontal="left" vertical="top"/>
    </xf>
    <xf numFmtId="0" fontId="23" fillId="0" borderId="11" xfId="0" applyFont="1" applyBorder="1" applyAlignment="1" applyProtection="1">
      <alignment vertical="center"/>
    </xf>
    <xf numFmtId="0" fontId="23" fillId="0" borderId="3" xfId="0" applyFont="1" applyBorder="1" applyAlignment="1" applyProtection="1">
      <alignment vertical="center"/>
    </xf>
    <xf numFmtId="0" fontId="23" fillId="0" borderId="4" xfId="0" applyFont="1" applyBorder="1" applyAlignment="1" applyProtection="1">
      <alignment vertical="center"/>
    </xf>
    <xf numFmtId="0" fontId="23" fillId="0" borderId="13" xfId="0" applyFont="1" applyBorder="1" applyAlignment="1" applyProtection="1">
      <alignment horizontal="right"/>
    </xf>
    <xf numFmtId="165" fontId="23" fillId="2" borderId="18" xfId="0" applyNumberFormat="1" applyFont="1" applyFill="1" applyBorder="1" applyAlignment="1" applyProtection="1">
      <alignment horizontal="center" vertical="center"/>
    </xf>
    <xf numFmtId="0" fontId="23" fillId="0" borderId="13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3" fillId="0" borderId="5" xfId="0" applyFont="1" applyBorder="1" applyAlignment="1" applyProtection="1">
      <alignment vertical="center"/>
    </xf>
    <xf numFmtId="0" fontId="23" fillId="0" borderId="2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vertical="center"/>
    </xf>
    <xf numFmtId="171" fontId="23" fillId="0" borderId="1" xfId="0" applyNumberFormat="1" applyFont="1" applyBorder="1" applyAlignment="1" applyProtection="1">
      <alignment horizontal="center" vertical="center"/>
    </xf>
    <xf numFmtId="165" fontId="23" fillId="0" borderId="1" xfId="0" applyNumberFormat="1" applyFont="1" applyBorder="1" applyAlignment="1" applyProtection="1">
      <alignment horizontal="center" vertical="center"/>
    </xf>
    <xf numFmtId="166" fontId="15" fillId="0" borderId="6" xfId="0" applyNumberFormat="1" applyFont="1" applyBorder="1" applyAlignment="1" applyProtection="1">
      <alignment horizontal="right" vertical="center"/>
    </xf>
    <xf numFmtId="0" fontId="25" fillId="0" borderId="0" xfId="0" applyFont="1" applyFill="1" applyAlignment="1" applyProtection="1">
      <alignment vertical="center"/>
    </xf>
    <xf numFmtId="169" fontId="0" fillId="0" borderId="0" xfId="0" applyNumberFormat="1" applyFill="1" applyBorder="1" applyAlignment="1" applyProtection="1">
      <alignment vertical="center"/>
    </xf>
    <xf numFmtId="169" fontId="0" fillId="0" borderId="5" xfId="0" applyNumberFormat="1" applyFill="1" applyBorder="1" applyAlignment="1" applyProtection="1">
      <alignment vertical="center"/>
    </xf>
    <xf numFmtId="172" fontId="20" fillId="0" borderId="1" xfId="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169" fontId="15" fillId="0" borderId="18" xfId="0" applyNumberFormat="1" applyFont="1" applyBorder="1" applyAlignment="1" applyProtection="1">
      <alignment horizontal="right" vertical="center"/>
    </xf>
    <xf numFmtId="0" fontId="23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72" fontId="20" fillId="0" borderId="1" xfId="1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13" xfId="0" applyFont="1" applyBorder="1" applyProtection="1"/>
    <xf numFmtId="0" fontId="23" fillId="0" borderId="0" xfId="0" applyFont="1" applyBorder="1" applyProtection="1"/>
    <xf numFmtId="0" fontId="23" fillId="0" borderId="0" xfId="0" applyFont="1" applyProtection="1"/>
    <xf numFmtId="0" fontId="23" fillId="0" borderId="14" xfId="0" applyFont="1" applyBorder="1" applyProtection="1"/>
    <xf numFmtId="0" fontId="23" fillId="0" borderId="9" xfId="0" applyFont="1" applyBorder="1" applyProtection="1"/>
    <xf numFmtId="0" fontId="23" fillId="0" borderId="9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/>
    </xf>
    <xf numFmtId="166" fontId="15" fillId="4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left" vertical="center" wrapText="1"/>
    </xf>
    <xf numFmtId="0" fontId="23" fillId="0" borderId="13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166" fontId="0" fillId="0" borderId="0" xfId="0" applyNumberFormat="1" applyFill="1" applyBorder="1" applyAlignment="1" applyProtection="1">
      <alignment vertical="center"/>
    </xf>
    <xf numFmtId="165" fontId="0" fillId="0" borderId="0" xfId="0" applyNumberFormat="1" applyFill="1" applyBorder="1" applyAlignment="1" applyProtection="1">
      <alignment vertical="center"/>
    </xf>
    <xf numFmtId="169" fontId="14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165" fontId="3" fillId="0" borderId="0" xfId="0" applyNumberFormat="1" applyFont="1" applyAlignment="1" applyProtection="1">
      <alignment vertical="center"/>
    </xf>
    <xf numFmtId="0" fontId="20" fillId="0" borderId="2" xfId="0" applyFont="1" applyFill="1" applyBorder="1" applyAlignment="1" applyProtection="1">
      <alignment horizontal="right" vertical="center"/>
    </xf>
    <xf numFmtId="164" fontId="10" fillId="0" borderId="1" xfId="0" applyNumberFormat="1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</xf>
    <xf numFmtId="164" fontId="16" fillId="0" borderId="1" xfId="0" applyNumberFormat="1" applyFont="1" applyFill="1" applyBorder="1" applyAlignment="1" applyProtection="1">
      <alignment horizontal="right" vertical="center"/>
    </xf>
    <xf numFmtId="0" fontId="20" fillId="0" borderId="25" xfId="0" applyFont="1" applyBorder="1" applyAlignment="1" applyProtection="1">
      <alignment horizontal="left" vertical="center" wrapText="1"/>
    </xf>
    <xf numFmtId="0" fontId="26" fillId="0" borderId="7" xfId="0" applyFont="1" applyBorder="1" applyAlignment="1" applyProtection="1">
      <alignment horizontal="left" vertical="center" wrapText="1"/>
    </xf>
    <xf numFmtId="0" fontId="1" fillId="0" borderId="13" xfId="0" applyFont="1" applyFill="1" applyBorder="1" applyAlignment="1" applyProtection="1">
      <alignment horizontal="center" vertical="center"/>
    </xf>
    <xf numFmtId="167" fontId="0" fillId="0" borderId="5" xfId="0" applyNumberFormat="1" applyFill="1" applyBorder="1" applyAlignment="1" applyProtection="1">
      <alignment vertical="center"/>
    </xf>
    <xf numFmtId="0" fontId="20" fillId="0" borderId="2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165" fontId="3" fillId="0" borderId="0" xfId="0" applyNumberFormat="1" applyFont="1" applyBorder="1" applyAlignment="1" applyProtection="1">
      <alignment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 wrapText="1"/>
    </xf>
    <xf numFmtId="164" fontId="16" fillId="0" borderId="1" xfId="0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5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vertical="center"/>
    </xf>
    <xf numFmtId="166" fontId="0" fillId="0" borderId="9" xfId="0" applyNumberFormat="1" applyFill="1" applyBorder="1" applyAlignment="1" applyProtection="1">
      <alignment vertical="center"/>
    </xf>
    <xf numFmtId="164" fontId="0" fillId="0" borderId="9" xfId="0" applyNumberFormat="1" applyFill="1" applyBorder="1" applyAlignment="1" applyProtection="1">
      <alignment vertical="center"/>
    </xf>
    <xf numFmtId="165" fontId="0" fillId="0" borderId="9" xfId="0" applyNumberForma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5" fillId="0" borderId="0" xfId="0" applyFont="1" applyFill="1" applyAlignment="1" applyProtection="1">
      <alignment vertical="center" wrapText="1"/>
    </xf>
    <xf numFmtId="0" fontId="23" fillId="0" borderId="0" xfId="0" applyFont="1" applyBorder="1" applyAlignment="1" applyProtection="1">
      <alignment horizontal="right" vertical="center"/>
    </xf>
    <xf numFmtId="0" fontId="10" fillId="0" borderId="13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20" fillId="0" borderId="1" xfId="0" applyFont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6" xfId="0" applyFont="1" applyFill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vertical="center"/>
    </xf>
    <xf numFmtId="170" fontId="0" fillId="0" borderId="6" xfId="0" applyNumberFormat="1" applyBorder="1" applyAlignment="1" applyProtection="1">
      <alignment vertical="center"/>
    </xf>
    <xf numFmtId="0" fontId="16" fillId="0" borderId="5" xfId="0" applyFont="1" applyFill="1" applyBorder="1" applyAlignment="1" applyProtection="1">
      <alignment horizontal="center" vertical="center"/>
    </xf>
    <xf numFmtId="169" fontId="20" fillId="0" borderId="5" xfId="1" applyNumberFormat="1" applyFont="1" applyFill="1" applyBorder="1" applyAlignment="1" applyProtection="1">
      <alignment vertical="center"/>
    </xf>
    <xf numFmtId="169" fontId="3" fillId="0" borderId="5" xfId="0" applyNumberFormat="1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10" fillId="0" borderId="27" xfId="0" applyFont="1" applyFill="1" applyBorder="1" applyAlignment="1" applyProtection="1">
      <alignment horizontal="left" vertical="center"/>
    </xf>
    <xf numFmtId="0" fontId="10" fillId="0" borderId="28" xfId="0" applyFont="1" applyFill="1" applyBorder="1" applyAlignment="1" applyProtection="1">
      <alignment horizontal="left" vertical="center"/>
    </xf>
    <xf numFmtId="0" fontId="20" fillId="0" borderId="13" xfId="0" applyFont="1" applyBorder="1" applyAlignment="1" applyProtection="1">
      <alignment vertical="center"/>
    </xf>
    <xf numFmtId="0" fontId="20" fillId="0" borderId="5" xfId="0" applyFont="1" applyBorder="1" applyAlignment="1" applyProtection="1">
      <alignment vertical="center"/>
    </xf>
    <xf numFmtId="170" fontId="16" fillId="0" borderId="6" xfId="0" applyNumberFormat="1" applyFont="1" applyBorder="1" applyAlignment="1" applyProtection="1">
      <alignment vertical="center"/>
    </xf>
    <xf numFmtId="170" fontId="16" fillId="0" borderId="6" xfId="0" applyNumberFormat="1" applyFont="1" applyFill="1" applyBorder="1" applyAlignment="1" applyProtection="1">
      <alignment vertical="center"/>
    </xf>
    <xf numFmtId="0" fontId="16" fillId="2" borderId="2" xfId="0" applyFont="1" applyFill="1" applyBorder="1" applyAlignment="1" applyProtection="1">
      <alignment horizontal="center" vertical="center"/>
    </xf>
    <xf numFmtId="169" fontId="20" fillId="0" borderId="5" xfId="0" applyNumberFormat="1" applyFont="1" applyFill="1" applyBorder="1" applyAlignment="1" applyProtection="1">
      <alignment horizontal="right" vertical="center"/>
    </xf>
    <xf numFmtId="169" fontId="16" fillId="0" borderId="5" xfId="0" applyNumberFormat="1" applyFont="1" applyFill="1" applyBorder="1" applyAlignment="1" applyProtection="1">
      <alignment vertical="center"/>
    </xf>
    <xf numFmtId="169" fontId="14" fillId="0" borderId="5" xfId="0" applyNumberFormat="1" applyFont="1" applyFill="1" applyBorder="1" applyAlignment="1" applyProtection="1">
      <alignment vertical="center"/>
    </xf>
    <xf numFmtId="0" fontId="31" fillId="0" borderId="5" xfId="0" applyFont="1" applyFill="1" applyBorder="1" applyAlignment="1" applyProtection="1">
      <alignment vertical="center"/>
    </xf>
    <xf numFmtId="169" fontId="3" fillId="0" borderId="5" xfId="0" applyNumberFormat="1" applyFont="1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169" fontId="0" fillId="0" borderId="10" xfId="0" applyNumberFormat="1" applyFill="1" applyBorder="1" applyAlignment="1" applyProtection="1">
      <alignment vertical="center"/>
    </xf>
    <xf numFmtId="166" fontId="7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/>
    </xf>
    <xf numFmtId="169" fontId="26" fillId="0" borderId="0" xfId="0" applyNumberFormat="1" applyFont="1" applyFill="1" applyBorder="1" applyAlignment="1" applyProtection="1">
      <alignment vertical="center"/>
    </xf>
    <xf numFmtId="173" fontId="26" fillId="0" borderId="0" xfId="0" applyNumberFormat="1" applyFont="1" applyBorder="1" applyAlignment="1">
      <alignment horizontal="center"/>
    </xf>
    <xf numFmtId="173" fontId="26" fillId="0" borderId="0" xfId="0" applyNumberFormat="1" applyFont="1" applyBorder="1" applyAlignment="1">
      <alignment horizontal="center" vertical="center"/>
    </xf>
    <xf numFmtId="173" fontId="26" fillId="0" borderId="0" xfId="0" applyNumberFormat="1" applyFont="1" applyFill="1" applyBorder="1" applyAlignment="1">
      <alignment horizontal="center" vertical="center"/>
    </xf>
    <xf numFmtId="0" fontId="17" fillId="0" borderId="18" xfId="2" applyFont="1" applyBorder="1" applyAlignment="1" applyProtection="1">
      <alignment horizontal="center" vertical="center"/>
      <protection locked="0"/>
    </xf>
    <xf numFmtId="0" fontId="12" fillId="0" borderId="18" xfId="2" applyFont="1" applyBorder="1" applyAlignment="1" applyProtection="1">
      <alignment horizontal="center" vertical="center"/>
      <protection locked="0"/>
    </xf>
    <xf numFmtId="0" fontId="12" fillId="0" borderId="19" xfId="2" applyFont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vertical="center"/>
    </xf>
    <xf numFmtId="0" fontId="5" fillId="4" borderId="18" xfId="0" applyFont="1" applyFill="1" applyBorder="1" applyAlignment="1" applyProtection="1">
      <alignment vertical="center"/>
    </xf>
    <xf numFmtId="174" fontId="23" fillId="0" borderId="18" xfId="0" applyNumberFormat="1" applyFont="1" applyBorder="1" applyAlignment="1" applyProtection="1">
      <alignment vertical="center"/>
    </xf>
    <xf numFmtId="0" fontId="0" fillId="0" borderId="18" xfId="0" applyFill="1" applyBorder="1" applyAlignment="1" applyProtection="1">
      <alignment vertical="center"/>
    </xf>
    <xf numFmtId="166" fontId="16" fillId="0" borderId="31" xfId="0" applyNumberFormat="1" applyFont="1" applyBorder="1" applyAlignment="1" applyProtection="1">
      <alignment horizontal="left" vertical="center"/>
    </xf>
    <xf numFmtId="166" fontId="16" fillId="0" borderId="26" xfId="0" applyNumberFormat="1" applyFont="1" applyBorder="1" applyAlignment="1" applyProtection="1">
      <alignment horizontal="left" vertical="center"/>
    </xf>
    <xf numFmtId="166" fontId="16" fillId="0" borderId="29" xfId="0" applyNumberFormat="1" applyFont="1" applyBorder="1" applyAlignment="1" applyProtection="1">
      <alignment horizontal="left" vertical="center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26" xfId="0" applyFont="1" applyBorder="1" applyAlignment="1" applyProtection="1">
      <alignment horizontal="center" vertical="center" wrapText="1"/>
    </xf>
    <xf numFmtId="0" fontId="20" fillId="0" borderId="20" xfId="0" applyFont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horizontal="center" vertical="center"/>
    </xf>
    <xf numFmtId="0" fontId="27" fillId="0" borderId="6" xfId="0" applyFont="1" applyBorder="1" applyAlignment="1" applyProtection="1">
      <alignment horizontal="center" vertical="center"/>
    </xf>
    <xf numFmtId="0" fontId="16" fillId="0" borderId="31" xfId="0" applyFont="1" applyBorder="1" applyAlignment="1" applyProtection="1">
      <alignment vertical="center"/>
    </xf>
    <xf numFmtId="0" fontId="16" fillId="0" borderId="26" xfId="0" applyFont="1" applyBorder="1" applyAlignment="1" applyProtection="1">
      <alignment vertical="center"/>
    </xf>
    <xf numFmtId="0" fontId="16" fillId="0" borderId="29" xfId="0" applyFont="1" applyBorder="1" applyAlignment="1" applyProtection="1">
      <alignment vertical="center"/>
    </xf>
    <xf numFmtId="0" fontId="16" fillId="2" borderId="31" xfId="0" applyFont="1" applyFill="1" applyBorder="1" applyAlignment="1" applyProtection="1">
      <alignment horizontal="center" vertical="center"/>
    </xf>
    <xf numFmtId="0" fontId="16" fillId="2" borderId="26" xfId="0" applyFont="1" applyFill="1" applyBorder="1" applyAlignment="1" applyProtection="1">
      <alignment horizontal="center" vertical="center"/>
    </xf>
    <xf numFmtId="0" fontId="16" fillId="2" borderId="29" xfId="0" applyFont="1" applyFill="1" applyBorder="1" applyAlignment="1" applyProtection="1">
      <alignment horizontal="center" vertical="center"/>
    </xf>
    <xf numFmtId="0" fontId="16" fillId="0" borderId="31" xfId="0" applyFont="1" applyBorder="1" applyAlignment="1" applyProtection="1">
      <alignment horizontal="left" vertical="center"/>
    </xf>
    <xf numFmtId="0" fontId="16" fillId="0" borderId="26" xfId="0" applyFont="1" applyBorder="1" applyAlignment="1" applyProtection="1">
      <alignment horizontal="left" vertical="center"/>
    </xf>
    <xf numFmtId="0" fontId="16" fillId="0" borderId="29" xfId="0" applyFont="1" applyBorder="1" applyAlignment="1" applyProtection="1">
      <alignment horizontal="left" vertical="center"/>
    </xf>
    <xf numFmtId="0" fontId="10" fillId="0" borderId="13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5" fillId="0" borderId="0" xfId="0" applyFont="1" applyAlignment="1" applyProtection="1">
      <alignment vertical="center" wrapText="1"/>
    </xf>
    <xf numFmtId="0" fontId="27" fillId="0" borderId="17" xfId="0" applyFont="1" applyBorder="1" applyAlignment="1" applyProtection="1">
      <alignment horizontal="center" vertical="center"/>
    </xf>
    <xf numFmtId="0" fontId="10" fillId="0" borderId="33" xfId="0" applyFont="1" applyFill="1" applyBorder="1" applyAlignment="1" applyProtection="1">
      <alignment horizontal="left" vertical="center"/>
    </xf>
    <xf numFmtId="0" fontId="10" fillId="0" borderId="27" xfId="0" applyFont="1" applyFill="1" applyBorder="1" applyAlignment="1" applyProtection="1">
      <alignment horizontal="left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/>
    </xf>
    <xf numFmtId="0" fontId="20" fillId="0" borderId="26" xfId="0" applyFon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27" xfId="0" applyFont="1" applyBorder="1" applyAlignment="1" applyProtection="1">
      <alignment horizontal="right" vertical="center"/>
    </xf>
    <xf numFmtId="0" fontId="23" fillId="0" borderId="28" xfId="0" applyFont="1" applyBorder="1" applyAlignment="1" applyProtection="1">
      <alignment horizontal="right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17" xfId="0" applyFont="1" applyFill="1" applyBorder="1" applyAlignment="1" applyProtection="1">
      <alignment horizontal="center" vertical="center"/>
    </xf>
    <xf numFmtId="0" fontId="16" fillId="2" borderId="6" xfId="0" applyFont="1" applyFill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6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27" fillId="0" borderId="26" xfId="0" applyFont="1" applyBorder="1" applyAlignment="1" applyProtection="1">
      <alignment horizontal="center" vertical="center"/>
    </xf>
    <xf numFmtId="0" fontId="27" fillId="0" borderId="20" xfId="0" applyFont="1" applyBorder="1" applyAlignment="1" applyProtection="1">
      <alignment horizontal="center" vertical="center"/>
    </xf>
    <xf numFmtId="0" fontId="21" fillId="0" borderId="11" xfId="0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2" fillId="0" borderId="3" xfId="0" applyFont="1" applyFill="1" applyBorder="1" applyAlignment="1" applyProtection="1">
      <alignment horizontal="center" vertical="center"/>
    </xf>
    <xf numFmtId="0" fontId="22" fillId="0" borderId="4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horizontal="center" vertical="center"/>
    </xf>
    <xf numFmtId="0" fontId="20" fillId="0" borderId="6" xfId="0" applyFont="1" applyFill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/>
    </xf>
    <xf numFmtId="0" fontId="20" fillId="0" borderId="27" xfId="0" applyFont="1" applyBorder="1" applyAlignment="1" applyProtection="1">
      <alignment horizontal="center" vertical="center"/>
    </xf>
    <xf numFmtId="0" fontId="20" fillId="0" borderId="28" xfId="0" applyFont="1" applyBorder="1" applyAlignment="1" applyProtection="1">
      <alignment horizontal="center" vertical="center"/>
    </xf>
    <xf numFmtId="0" fontId="20" fillId="0" borderId="8" xfId="0" applyFont="1" applyBorder="1" applyAlignment="1" applyProtection="1">
      <alignment horizontal="center" vertical="center"/>
    </xf>
    <xf numFmtId="0" fontId="20" fillId="0" borderId="12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0" fontId="16" fillId="0" borderId="2" xfId="0" applyFont="1" applyBorder="1" applyAlignment="1" applyProtection="1">
      <alignment vertical="center"/>
    </xf>
    <xf numFmtId="0" fontId="16" fillId="0" borderId="1" xfId="0" applyFont="1" applyBorder="1" applyAlignment="1" applyProtection="1">
      <alignment vertical="center"/>
    </xf>
    <xf numFmtId="166" fontId="16" fillId="0" borderId="2" xfId="0" applyNumberFormat="1" applyFont="1" applyBorder="1" applyAlignment="1" applyProtection="1">
      <alignment horizontal="left" vertical="center"/>
    </xf>
    <xf numFmtId="166" fontId="16" fillId="0" borderId="1" xfId="0" applyNumberFormat="1" applyFont="1" applyBorder="1" applyAlignment="1" applyProtection="1">
      <alignment horizontal="left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20" fillId="0" borderId="15" xfId="0" applyFont="1" applyBorder="1" applyAlignment="1" applyProtection="1">
      <alignment horizontal="center" vertical="center"/>
    </xf>
    <xf numFmtId="0" fontId="20" fillId="0" borderId="30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0" fontId="23" fillId="0" borderId="29" xfId="0" applyFont="1" applyBorder="1" applyAlignment="1" applyProtection="1">
      <alignment horizontal="center" vertical="center"/>
    </xf>
    <xf numFmtId="0" fontId="15" fillId="0" borderId="0" xfId="0" applyFont="1" applyFill="1" applyAlignment="1" applyProtection="1">
      <alignment horizontal="left" vertical="center" wrapText="1"/>
    </xf>
    <xf numFmtId="0" fontId="20" fillId="0" borderId="2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vertical="center"/>
    </xf>
    <xf numFmtId="0" fontId="16" fillId="0" borderId="2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17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17" xfId="0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 applyProtection="1">
      <alignment horizontal="center" vertical="center"/>
    </xf>
    <xf numFmtId="170" fontId="16" fillId="0" borderId="30" xfId="0" applyNumberFormat="1" applyFont="1" applyBorder="1" applyAlignment="1" applyProtection="1">
      <alignment horizontal="right" vertical="center"/>
    </xf>
    <xf numFmtId="170" fontId="16" fillId="0" borderId="32" xfId="0" applyNumberFormat="1" applyFont="1" applyBorder="1" applyAlignment="1" applyProtection="1">
      <alignment horizontal="right" vertical="center"/>
    </xf>
    <xf numFmtId="164" fontId="16" fillId="0" borderId="15" xfId="0" applyNumberFormat="1" applyFont="1" applyFill="1" applyBorder="1" applyAlignment="1" applyProtection="1">
      <alignment horizontal="right" vertical="center"/>
    </xf>
    <xf numFmtId="164" fontId="16" fillId="0" borderId="16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17" xfId="0" applyFont="1" applyFill="1" applyBorder="1" applyAlignment="1" applyProtection="1">
      <alignment horizontal="center" vertical="center" wrapText="1"/>
    </xf>
    <xf numFmtId="0" fontId="20" fillId="0" borderId="6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/>
    </xf>
    <xf numFmtId="0" fontId="27" fillId="0" borderId="17" xfId="0" applyFont="1" applyFill="1" applyBorder="1" applyAlignment="1" applyProtection="1">
      <alignment horizontal="center" vertical="center"/>
    </xf>
    <xf numFmtId="0" fontId="27" fillId="0" borderId="6" xfId="0" applyFont="1" applyFill="1" applyBorder="1" applyAlignment="1" applyProtection="1">
      <alignment horizontal="center" vertical="center"/>
    </xf>
  </cellXfs>
  <cellStyles count="6">
    <cellStyle name="Гиперссылка" xfId="2" builtinId="8"/>
    <cellStyle name="Обычный" xfId="0" builtinId="0"/>
    <cellStyle name="Обычный 4" xfId="4"/>
    <cellStyle name="Обычный 4 2" xfId="5"/>
    <cellStyle name="Обычный 7" xfId="1"/>
    <cellStyle name="Процентный 2" xfId="3"/>
  </cellStyles>
  <dxfs count="126">
    <dxf>
      <font>
        <color theme="0"/>
      </font>
    </dxf>
    <dxf>
      <font>
        <color rgb="FFFFFF00"/>
      </font>
    </dxf>
    <dxf>
      <font>
        <b/>
        <i val="0"/>
        <color rgb="FFC00000"/>
      </font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FF"/>
      </font>
    </dxf>
    <dxf>
      <fill>
        <patternFill patternType="solid">
          <bgColor rgb="FFFFFF00"/>
        </patternFill>
      </fill>
    </dxf>
    <dxf>
      <font>
        <color theme="0"/>
      </font>
    </dxf>
    <dxf>
      <font>
        <b/>
        <i val="0"/>
        <color rgb="FFC0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C00000"/>
      </font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C00000"/>
      </font>
    </dxf>
    <dxf>
      <font>
        <color rgb="FFFFFFFF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rgb="FFFFFFFF"/>
      </font>
    </dxf>
    <dxf>
      <fill>
        <patternFill patternType="solid">
          <bgColor rgb="FFFFFF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rgb="FFFFFFFF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C00000"/>
      </font>
    </dxf>
    <dxf>
      <fill>
        <patternFill>
          <bgColor rgb="FFFF0000"/>
        </patternFill>
      </fill>
    </dxf>
    <dxf>
      <font>
        <b/>
        <i val="0"/>
        <color rgb="FFC00000"/>
      </font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C00000"/>
      </font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rgb="FFFFFFFF"/>
      </font>
    </dxf>
    <dxf>
      <fill>
        <patternFill patternType="solid">
          <bgColor rgb="FFFFFF00"/>
        </patternFill>
      </fill>
    </dxf>
    <dxf>
      <font>
        <color rgb="FFFFFFFF"/>
      </font>
    </dxf>
    <dxf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FFFFFF"/>
      </font>
    </dxf>
    <dxf>
      <font>
        <color rgb="FFFFFFFF"/>
      </font>
    </dxf>
    <dxf>
      <font>
        <color rgb="FFC00000"/>
      </font>
    </dxf>
    <dxf>
      <font>
        <color rgb="FFFFFFFF"/>
      </font>
    </dxf>
    <dxf>
      <fill>
        <patternFill patternType="solid"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rgb="FFC00000"/>
      </font>
    </dxf>
    <dxf>
      <font>
        <color rgb="FFFFFFFF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FF"/>
      <color rgb="FF008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1055;&#1086;&#1076;&#1074;&#1077;&#1089;&#1085;&#1072;&#1103;!C5"/><Relationship Id="rId2" Type="http://schemas.openxmlformats.org/officeDocument/2006/relationships/hyperlink" Target="#&#1056;&#1072;&#1089;&#1087;&#1072;&#1096;&#1085;&#1072;&#1103;!C6"/><Relationship Id="rId1" Type="http://schemas.openxmlformats.org/officeDocument/2006/relationships/hyperlink" Target="#&#1057;&#1090;&#1072;&#1094;&#1080;&#1086;&#1085;&#1072;&#1088;&#1085;&#1072;&#1103;!C6"/><Relationship Id="rId5" Type="http://schemas.openxmlformats.org/officeDocument/2006/relationships/hyperlink" Target="#&#1057;&#1082;&#1083;&#1072;&#1076;&#1085;&#1072;&#1103;!C6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45215</xdr:colOff>
      <xdr:row>11</xdr:row>
      <xdr:rowOff>107156</xdr:rowOff>
    </xdr:from>
    <xdr:ext cx="3780000" cy="342000"/>
    <xdr:sp macro="" textlink="">
      <xdr:nvSpPr>
        <xdr:cNvPr id="11" name="Прямоугольник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227629" y="2202656"/>
          <a:ext cx="3780000" cy="342000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Стационарная </a:t>
          </a:r>
          <a:r>
            <a:rPr lang="ru-RU" sz="1600" b="1" cap="none" spc="0" baseline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перегородка (4в1)</a:t>
          </a:r>
          <a:endParaRPr lang="ru-RU" sz="1600" b="1" cap="none" spc="0">
            <a:ln w="17780" cmpd="sng">
              <a:noFill/>
              <a:prstDash val="solid"/>
              <a:miter lim="800000"/>
            </a:ln>
            <a:solidFill>
              <a:schemeClr val="bg1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2</xdr:col>
      <xdr:colOff>53153</xdr:colOff>
      <xdr:row>9</xdr:row>
      <xdr:rowOff>72185</xdr:rowOff>
    </xdr:from>
    <xdr:ext cx="3780000" cy="342786"/>
    <xdr:sp macro="" textlink="">
      <xdr:nvSpPr>
        <xdr:cNvPr id="12" name="Прямоугольник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35567" y="1786685"/>
          <a:ext cx="3780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Распашная перегородка (4в1)</a:t>
          </a:r>
        </a:p>
      </xdr:txBody>
    </xdr:sp>
    <xdr:clientData/>
  </xdr:oneCellAnchor>
  <xdr:oneCellAnchor>
    <xdr:from>
      <xdr:col>2</xdr:col>
      <xdr:colOff>53090</xdr:colOff>
      <xdr:row>5</xdr:row>
      <xdr:rowOff>43781</xdr:rowOff>
    </xdr:from>
    <xdr:ext cx="3780000" cy="342786"/>
    <xdr:sp macro="" textlink="">
      <xdr:nvSpPr>
        <xdr:cNvPr id="13" name="Прямоугольник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35504" y="996281"/>
          <a:ext cx="3780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Подвесная </a:t>
          </a:r>
          <a:r>
            <a:rPr lang="ru-RU" sz="1600" b="1" cap="none" spc="0" baseline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перегородка (4в1)</a:t>
          </a:r>
          <a:endParaRPr lang="ru-RU" sz="1600" b="1" cap="none" spc="0">
            <a:ln w="17780" cmpd="sng">
              <a:noFill/>
              <a:prstDash val="solid"/>
              <a:miter lim="800000"/>
            </a:ln>
            <a:solidFill>
              <a:schemeClr val="bg1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8</xdr:col>
      <xdr:colOff>376167</xdr:colOff>
      <xdr:row>0</xdr:row>
      <xdr:rowOff>51420</xdr:rowOff>
    </xdr:from>
    <xdr:to>
      <xdr:col>9</xdr:col>
      <xdr:colOff>564171</xdr:colOff>
      <xdr:row>2</xdr:row>
      <xdr:rowOff>139212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49379" y="249247"/>
          <a:ext cx="796139" cy="468792"/>
        </a:xfrm>
        <a:prstGeom prst="rect">
          <a:avLst/>
        </a:prstGeom>
      </xdr:spPr>
    </xdr:pic>
    <xdr:clientData/>
  </xdr:twoCellAnchor>
  <xdr:oneCellAnchor>
    <xdr:from>
      <xdr:col>2</xdr:col>
      <xdr:colOff>52780</xdr:colOff>
      <xdr:row>7</xdr:row>
      <xdr:rowOff>55980</xdr:rowOff>
    </xdr:from>
    <xdr:ext cx="3780000" cy="342786"/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35194" y="1389480"/>
          <a:ext cx="3780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Складная перегородка (4в1)</a:t>
          </a:r>
        </a:p>
      </xdr:txBody>
    </xdr:sp>
    <xdr:clientData/>
  </xdr:oneCellAnchor>
  <xdr:oneCellAnchor>
    <xdr:from>
      <xdr:col>2</xdr:col>
      <xdr:colOff>49861</xdr:colOff>
      <xdr:row>11</xdr:row>
      <xdr:rowOff>88571</xdr:rowOff>
    </xdr:from>
    <xdr:ext cx="3780000" cy="342000"/>
    <xdr:sp macro="" textlink="">
      <xdr:nvSpPr>
        <xdr:cNvPr id="10" name="Прямоугольник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230032" y="2184071"/>
          <a:ext cx="3780000" cy="342000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Стационарная </a:t>
          </a:r>
          <a:r>
            <a:rPr lang="ru-RU" sz="1600" b="1" cap="none" spc="0" baseline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перегородка (4в1)</a:t>
          </a:r>
          <a:endParaRPr lang="ru-RU" sz="1600" b="1" cap="none" spc="0">
            <a:ln w="17780" cmpd="sng">
              <a:noFill/>
              <a:prstDash val="solid"/>
              <a:miter lim="800000"/>
            </a:ln>
            <a:solidFill>
              <a:schemeClr val="bg1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693961</xdr:colOff>
      <xdr:row>38</xdr:row>
      <xdr:rowOff>4</xdr:rowOff>
    </xdr:from>
    <xdr:to>
      <xdr:col>1</xdr:col>
      <xdr:colOff>2000249</xdr:colOff>
      <xdr:row>50</xdr:row>
      <xdr:rowOff>27215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818" y="10423075"/>
          <a:ext cx="1306288" cy="29527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775605</xdr:colOff>
      <xdr:row>32</xdr:row>
      <xdr:rowOff>59878</xdr:rowOff>
    </xdr:from>
    <xdr:to>
      <xdr:col>1</xdr:col>
      <xdr:colOff>2075009</xdr:colOff>
      <xdr:row>44</xdr:row>
      <xdr:rowOff>34018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641" y="8346628"/>
          <a:ext cx="1299404" cy="28588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666748</xdr:colOff>
      <xdr:row>31</xdr:row>
      <xdr:rowOff>243573</xdr:rowOff>
    </xdr:from>
    <xdr:to>
      <xdr:col>1</xdr:col>
      <xdr:colOff>1968953</xdr:colOff>
      <xdr:row>43</xdr:row>
      <xdr:rowOff>122464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177" y="8693609"/>
          <a:ext cx="1302205" cy="27636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693962</xdr:colOff>
      <xdr:row>28</xdr:row>
      <xdr:rowOff>145603</xdr:rowOff>
    </xdr:from>
    <xdr:to>
      <xdr:col>1</xdr:col>
      <xdr:colOff>2002970</xdr:colOff>
      <xdr:row>40</xdr:row>
      <xdr:rowOff>217715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8" y="7425424"/>
          <a:ext cx="1309008" cy="3011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  <pageSetUpPr fitToPage="1"/>
  </sheetPr>
  <dimension ref="A1:K28"/>
  <sheetViews>
    <sheetView tabSelected="1" zoomScaleNormal="100" zoomScalePageLayoutView="120" workbookViewId="0"/>
  </sheetViews>
  <sheetFormatPr defaultColWidth="8.85546875" defaultRowHeight="15" x14ac:dyDescent="0.25"/>
  <cols>
    <col min="11" max="11" width="1.85546875" customWidth="1"/>
  </cols>
  <sheetData>
    <row r="1" spans="1:11" x14ac:dyDescent="0.25">
      <c r="A1" s="1"/>
      <c r="B1" s="2"/>
      <c r="C1" s="2"/>
      <c r="D1" s="2"/>
      <c r="E1" s="2"/>
      <c r="F1" s="2"/>
      <c r="G1" s="2"/>
      <c r="H1" s="2"/>
      <c r="I1" s="2"/>
      <c r="J1" s="3"/>
      <c r="K1" s="10"/>
    </row>
    <row r="2" spans="1:11" x14ac:dyDescent="0.25">
      <c r="A2" s="4"/>
      <c r="B2" s="5"/>
      <c r="C2" s="5"/>
      <c r="D2" s="5"/>
      <c r="E2" s="5"/>
      <c r="F2" s="5"/>
      <c r="G2" s="5"/>
      <c r="H2" s="5"/>
      <c r="I2" s="5"/>
      <c r="J2" s="6"/>
      <c r="K2" s="10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6"/>
      <c r="K3" s="10"/>
    </row>
    <row r="4" spans="1:11" x14ac:dyDescent="0.25">
      <c r="A4" s="4"/>
      <c r="B4" s="5"/>
      <c r="C4" s="5"/>
      <c r="D4" s="5"/>
      <c r="E4" s="5"/>
      <c r="F4" s="5"/>
      <c r="G4" s="5"/>
      <c r="H4" s="5"/>
      <c r="I4" s="5"/>
      <c r="J4" s="6"/>
      <c r="K4" s="10"/>
    </row>
    <row r="5" spans="1:11" x14ac:dyDescent="0.25">
      <c r="A5" s="4"/>
      <c r="B5" s="5"/>
      <c r="C5" s="5"/>
      <c r="D5" s="5"/>
      <c r="E5" s="5"/>
      <c r="F5" s="5"/>
      <c r="G5" s="5"/>
      <c r="H5" s="5"/>
      <c r="I5" s="5"/>
      <c r="J5" s="6"/>
      <c r="K5" s="10"/>
    </row>
    <row r="6" spans="1:11" x14ac:dyDescent="0.25">
      <c r="A6" s="4"/>
      <c r="B6" s="5"/>
      <c r="C6" s="5"/>
      <c r="D6" s="5"/>
      <c r="E6" s="5"/>
      <c r="F6" s="5"/>
      <c r="G6" s="5"/>
      <c r="H6" s="5"/>
      <c r="I6" s="5"/>
      <c r="J6" s="6"/>
      <c r="K6" s="10"/>
    </row>
    <row r="7" spans="1:11" x14ac:dyDescent="0.25">
      <c r="A7" s="4"/>
      <c r="B7" s="5"/>
      <c r="C7" s="5"/>
      <c r="D7" s="5"/>
      <c r="E7" s="5"/>
      <c r="F7" s="5"/>
      <c r="G7" s="5"/>
      <c r="H7" s="5"/>
      <c r="I7" s="5"/>
      <c r="J7" s="6"/>
      <c r="K7" s="10"/>
    </row>
    <row r="8" spans="1:11" x14ac:dyDescent="0.25">
      <c r="A8" s="4"/>
      <c r="B8" s="5"/>
      <c r="C8" s="5"/>
      <c r="D8" s="5"/>
      <c r="E8" s="5"/>
      <c r="F8" s="5"/>
      <c r="G8" s="5"/>
      <c r="H8" s="5"/>
      <c r="I8" s="5"/>
      <c r="J8" s="6"/>
      <c r="K8" s="10"/>
    </row>
    <row r="9" spans="1:11" x14ac:dyDescent="0.25">
      <c r="A9" s="4"/>
      <c r="B9" s="5"/>
      <c r="C9" s="5"/>
      <c r="D9" s="5"/>
      <c r="E9" s="5"/>
      <c r="F9" s="5"/>
      <c r="G9" s="5"/>
      <c r="H9" s="5"/>
      <c r="I9" s="5"/>
      <c r="J9" s="6"/>
      <c r="K9" s="10"/>
    </row>
    <row r="10" spans="1:11" x14ac:dyDescent="0.25">
      <c r="A10" s="4"/>
      <c r="B10" s="5"/>
      <c r="C10" s="5"/>
      <c r="D10" s="5"/>
      <c r="E10" s="5"/>
      <c r="F10" s="5"/>
      <c r="G10" s="5"/>
      <c r="H10" s="5"/>
      <c r="I10" s="5"/>
      <c r="J10" s="6"/>
      <c r="K10" s="10"/>
    </row>
    <row r="11" spans="1:11" x14ac:dyDescent="0.25">
      <c r="A11" s="4"/>
      <c r="B11" s="5"/>
      <c r="C11" s="5"/>
      <c r="D11" s="5"/>
      <c r="E11" s="5"/>
      <c r="F11" s="5"/>
      <c r="G11" s="5"/>
      <c r="H11" s="5"/>
      <c r="I11" s="5"/>
      <c r="J11" s="6"/>
      <c r="K11" s="10"/>
    </row>
    <row r="12" spans="1:11" x14ac:dyDescent="0.25">
      <c r="A12" s="4"/>
      <c r="B12" s="5"/>
      <c r="C12" s="5"/>
      <c r="D12" s="5"/>
      <c r="E12" s="5"/>
      <c r="F12" s="5"/>
      <c r="G12" s="5"/>
      <c r="H12" s="5"/>
      <c r="I12" s="5"/>
      <c r="J12" s="6"/>
      <c r="K12" s="10"/>
    </row>
    <row r="13" spans="1:11" x14ac:dyDescent="0.25">
      <c r="A13" s="4"/>
      <c r="B13" s="5"/>
      <c r="C13" s="5"/>
      <c r="D13" s="5"/>
      <c r="E13" s="5"/>
      <c r="F13" s="5"/>
      <c r="G13" s="5"/>
      <c r="H13" s="5"/>
      <c r="I13" s="5"/>
      <c r="J13" s="6"/>
      <c r="K13" s="10"/>
    </row>
    <row r="14" spans="1:11" x14ac:dyDescent="0.25">
      <c r="A14" s="4"/>
      <c r="B14" s="5"/>
      <c r="C14" s="5"/>
      <c r="D14" s="5"/>
      <c r="E14" s="5"/>
      <c r="F14" s="5"/>
      <c r="G14" s="5"/>
      <c r="H14" s="5"/>
      <c r="I14" s="5"/>
      <c r="J14" s="6"/>
      <c r="K14" s="10"/>
    </row>
    <row r="15" spans="1:11" x14ac:dyDescent="0.25">
      <c r="A15" s="4"/>
      <c r="B15" s="5"/>
      <c r="C15" s="5"/>
      <c r="D15" s="5"/>
      <c r="E15" s="5"/>
      <c r="F15" s="5"/>
      <c r="G15" s="5"/>
      <c r="H15" s="5"/>
      <c r="I15" s="5"/>
      <c r="J15" s="6"/>
      <c r="K15" s="10"/>
    </row>
    <row r="16" spans="1:11" ht="15.75" thickBot="1" x14ac:dyDescent="0.3">
      <c r="A16" s="7"/>
      <c r="B16" s="8"/>
      <c r="C16" s="8"/>
      <c r="D16" s="8"/>
      <c r="E16" s="8"/>
      <c r="F16" s="8"/>
      <c r="G16" s="8"/>
      <c r="H16" s="8"/>
      <c r="I16" s="8"/>
      <c r="J16" s="9"/>
      <c r="K16" s="10"/>
    </row>
    <row r="17" spans="1:1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1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1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</row>
    <row r="22" spans="1:11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3" spans="1:11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</row>
    <row r="25" spans="1:11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</row>
    <row r="27" spans="1:11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</row>
    <row r="28" spans="1:11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</row>
  </sheetData>
  <sheetProtection algorithmName="SHA-512" hashValue="La2KaE/TRVFWNXLeY2/fgKeX5tCFVfQh0hd/vb865Yjz+Ndx98EOfhN4FO1ZgQRXQ7N9yAqluV7DD7WTYzpStA==" saltValue="vd/zHQXTNy3XWM5A54tBzg==" spinCount="100000" sheet="1" objects="1" scenarios="1" selectLockedCells="1"/>
  <pageMargins left="0.70866141732283472" right="0.70866141732283472" top="0.74803149606299213" bottom="0.74803149606299213" header="0.31496062992125984" footer="0.31496062992125984"/>
  <pageSetup paperSize="9" orientation="landscape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1"/>
    <pageSetUpPr fitToPage="1"/>
  </sheetPr>
  <dimension ref="B1:R72"/>
  <sheetViews>
    <sheetView zoomScale="70" zoomScaleNormal="70" zoomScalePageLayoutView="125" workbookViewId="0">
      <selection activeCell="C5" sqref="C5"/>
    </sheetView>
  </sheetViews>
  <sheetFormatPr defaultColWidth="8.85546875" defaultRowHeight="15" x14ac:dyDescent="0.25"/>
  <cols>
    <col min="1" max="1" width="1.7109375" style="12" customWidth="1"/>
    <col min="2" max="2" width="46.140625" style="12" customWidth="1"/>
    <col min="3" max="3" width="40" style="12" customWidth="1"/>
    <col min="4" max="8" width="14.7109375" style="12" customWidth="1"/>
    <col min="9" max="9" width="2.140625" style="12" customWidth="1"/>
    <col min="10" max="10" width="36.42578125" style="12" customWidth="1"/>
    <col min="11" max="11" width="13.85546875" style="12" customWidth="1"/>
    <col min="12" max="12" width="12.42578125" style="12" customWidth="1"/>
    <col min="13" max="13" width="13.7109375" style="12" customWidth="1"/>
    <col min="14" max="14" width="12.28515625" style="12" customWidth="1"/>
    <col min="15" max="15" width="14.85546875" style="12" customWidth="1"/>
    <col min="16" max="16" width="11.7109375" style="156" hidden="1" customWidth="1"/>
    <col min="17" max="17" width="10.7109375" style="156" hidden="1" customWidth="1"/>
    <col min="18" max="18" width="29.85546875" style="12" hidden="1" customWidth="1"/>
    <col min="19" max="21" width="8.85546875" style="12" customWidth="1"/>
    <col min="22" max="16384" width="8.85546875" style="12"/>
  </cols>
  <sheetData>
    <row r="1" spans="2:18" ht="19.5" thickBot="1" x14ac:dyDescent="0.3">
      <c r="B1" s="282" t="s">
        <v>85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3"/>
      <c r="O1" s="227" t="s">
        <v>86</v>
      </c>
      <c r="P1" s="222"/>
    </row>
    <row r="2" spans="2:18" s="13" customFormat="1" x14ac:dyDescent="0.25">
      <c r="B2" s="279" t="s">
        <v>119</v>
      </c>
      <c r="C2" s="284"/>
      <c r="D2" s="284"/>
      <c r="E2" s="284"/>
      <c r="F2" s="284"/>
      <c r="G2" s="284"/>
      <c r="H2" s="285"/>
      <c r="J2" s="279" t="s">
        <v>120</v>
      </c>
      <c r="K2" s="280"/>
      <c r="L2" s="280"/>
      <c r="M2" s="280"/>
      <c r="N2" s="280"/>
      <c r="O2" s="281"/>
      <c r="P2" s="220"/>
      <c r="Q2" s="156"/>
    </row>
    <row r="3" spans="2:18" s="16" customFormat="1" ht="15.75" x14ac:dyDescent="0.25">
      <c r="B3" s="251"/>
      <c r="C3" s="252"/>
      <c r="D3" s="14"/>
      <c r="E3" s="14"/>
      <c r="F3" s="14"/>
      <c r="G3" s="14"/>
      <c r="H3" s="15"/>
      <c r="J3" s="251" t="s">
        <v>113</v>
      </c>
      <c r="K3" s="252"/>
      <c r="L3" s="14"/>
      <c r="M3" s="14"/>
      <c r="N3" s="14"/>
      <c r="O3" s="15"/>
      <c r="P3" s="14"/>
      <c r="Q3" s="156"/>
    </row>
    <row r="4" spans="2:18" ht="15.75" x14ac:dyDescent="0.25">
      <c r="B4" s="52" t="s">
        <v>10</v>
      </c>
      <c r="C4" s="60" t="s">
        <v>24</v>
      </c>
      <c r="D4" s="269" t="s">
        <v>27</v>
      </c>
      <c r="E4" s="270"/>
      <c r="F4" s="270"/>
      <c r="G4" s="270"/>
      <c r="H4" s="271"/>
      <c r="J4" s="211" t="s">
        <v>0</v>
      </c>
      <c r="K4" s="192" t="s">
        <v>24</v>
      </c>
      <c r="L4" s="18"/>
      <c r="M4" s="18"/>
      <c r="N4" s="18"/>
      <c r="O4" s="25"/>
      <c r="P4" s="14"/>
      <c r="R4" s="81">
        <v>0</v>
      </c>
    </row>
    <row r="5" spans="2:18" ht="20.100000000000001" customHeight="1" x14ac:dyDescent="0.25">
      <c r="B5" s="46" t="s">
        <v>136</v>
      </c>
      <c r="C5" s="23">
        <v>0</v>
      </c>
      <c r="D5" s="274" t="str">
        <f>IF(OR(K5&gt;1200,K5&lt;600),R15,R16)</f>
        <v>не рекомендуем, ширина двери должна быть от 600 мм до 1200 мм</v>
      </c>
      <c r="E5" s="275"/>
      <c r="F5" s="275"/>
      <c r="G5" s="275"/>
      <c r="H5" s="276"/>
      <c r="J5" s="53" t="s">
        <v>39</v>
      </c>
      <c r="K5" s="59">
        <f>ROUNDDOWN(IF(C9=R8,C5+39,
IF(AND(C9=R9,OR(C15=R38,C15=R39)),C5/2+39,
IF(AND(C9=R9,OR(C15=R40,C15=R41)),(C5-10)/2+39,
IF(AND(C9=R10,OR(C15=R38,C15=R39)),(C5+39)/2,
IF(AND(C9=R10,OR(C15=R40,C15=R41)),(C5-10+39)/2,
IF(AND(C9=R11,OR(C15=R38,C15=R39)),(C5+39+39)/4,
IF(AND(C9=R11,OR(C15=R40,C15=R41)),(C5-10+39+39)/4,
IF(AND(C9=R12,OR(C15=R38,C15=R39),C11&gt;1),(C5+53+(C11-1)*39)/C11,
IF(AND(C9=R12,OR(C15=R40,C15=R41),C11&gt;1),(C5-5+53+(C11-1)*39)/C11,
IF(AND(C9=R13,OR(C15=R38,C15=R39),C11&gt;1),(C5+(C11-1)*39)/C11,
IF(AND(C9=R13,OR(C15=R40,C15=R41),C11&gt;1),(C5-10+(C11-1)*39)/C11,0))))))))))),0)</f>
        <v>39</v>
      </c>
      <c r="L5" s="19"/>
      <c r="M5" s="19"/>
      <c r="N5" s="19"/>
      <c r="O5" s="27"/>
      <c r="P5" s="14"/>
      <c r="R5" s="81">
        <v>1</v>
      </c>
    </row>
    <row r="6" spans="2:18" ht="20.100000000000001" customHeight="1" x14ac:dyDescent="0.25">
      <c r="B6" s="46" t="s">
        <v>137</v>
      </c>
      <c r="C6" s="23">
        <v>0</v>
      </c>
      <c r="D6" s="274" t="str">
        <f>IF(K6&gt;3200,R18,R19)</f>
        <v>допустимо</v>
      </c>
      <c r="E6" s="275"/>
      <c r="F6" s="275"/>
      <c r="G6" s="275"/>
      <c r="H6" s="276"/>
      <c r="J6" s="53" t="s">
        <v>38</v>
      </c>
      <c r="K6" s="59">
        <f>IF(OR(C9=R8,C9=R9),C6+100-60,C6-60)</f>
        <v>40</v>
      </c>
      <c r="L6" s="18"/>
      <c r="M6" s="18"/>
      <c r="N6" s="18"/>
      <c r="O6" s="25"/>
      <c r="P6" s="14"/>
      <c r="R6" s="81">
        <v>2</v>
      </c>
    </row>
    <row r="7" spans="2:18" ht="20.100000000000001" customHeight="1" x14ac:dyDescent="0.25">
      <c r="B7" s="46" t="s">
        <v>138</v>
      </c>
      <c r="C7" s="24">
        <v>0</v>
      </c>
      <c r="D7" s="257" t="s">
        <v>22</v>
      </c>
      <c r="E7" s="262"/>
      <c r="F7" s="262"/>
      <c r="G7" s="262"/>
      <c r="H7" s="258"/>
      <c r="J7" s="251"/>
      <c r="K7" s="252"/>
      <c r="L7" s="252"/>
      <c r="M7" s="252"/>
      <c r="N7" s="190"/>
      <c r="O7" s="82"/>
      <c r="P7" s="14"/>
      <c r="R7" s="83"/>
    </row>
    <row r="8" spans="2:18" ht="20.100000000000001" customHeight="1" x14ac:dyDescent="0.25">
      <c r="B8" s="46" t="s">
        <v>139</v>
      </c>
      <c r="C8" s="24" t="s">
        <v>46</v>
      </c>
      <c r="D8" s="254"/>
      <c r="E8" s="277"/>
      <c r="F8" s="277"/>
      <c r="G8" s="277"/>
      <c r="H8" s="278"/>
      <c r="J8" s="255" t="s">
        <v>89</v>
      </c>
      <c r="K8" s="256"/>
      <c r="L8" s="256"/>
      <c r="M8" s="256"/>
      <c r="N8" s="205"/>
      <c r="O8" s="206"/>
      <c r="P8" s="14"/>
      <c r="R8" s="84" t="s">
        <v>108</v>
      </c>
    </row>
    <row r="9" spans="2:18" ht="35.1" customHeight="1" x14ac:dyDescent="0.25">
      <c r="B9" s="85" t="s">
        <v>140</v>
      </c>
      <c r="C9" s="31" t="s">
        <v>108</v>
      </c>
      <c r="D9" s="240"/>
      <c r="E9" s="254"/>
      <c r="F9" s="254"/>
      <c r="G9" s="254"/>
      <c r="H9" s="241"/>
      <c r="J9" s="211" t="s">
        <v>0</v>
      </c>
      <c r="K9" s="192" t="s">
        <v>1</v>
      </c>
      <c r="L9" s="192" t="s">
        <v>16</v>
      </c>
      <c r="M9" s="192" t="s">
        <v>18</v>
      </c>
      <c r="N9" s="86" t="s">
        <v>118</v>
      </c>
      <c r="O9" s="193" t="s">
        <v>45</v>
      </c>
      <c r="P9" s="14"/>
      <c r="R9" s="84" t="s">
        <v>109</v>
      </c>
    </row>
    <row r="10" spans="2:18" ht="35.1" customHeight="1" x14ac:dyDescent="0.3">
      <c r="B10" s="85" t="s">
        <v>141</v>
      </c>
      <c r="C10" s="38">
        <f>IF(OR(C9=R10,C9=R11,C9=R9),2,IF(OR(C9=R12,C9=R13),C11,1))</f>
        <v>1</v>
      </c>
      <c r="D10" s="262" t="s">
        <v>133</v>
      </c>
      <c r="E10" s="263"/>
      <c r="F10" s="263"/>
      <c r="G10" s="263"/>
      <c r="H10" s="264"/>
      <c r="J10" s="54" t="s">
        <v>2</v>
      </c>
      <c r="K10" s="191" t="s">
        <v>3</v>
      </c>
      <c r="L10" s="89">
        <f>K6</f>
        <v>40</v>
      </c>
      <c r="M10" s="90">
        <f>IF(C9=R8,2,
IF(OR(C9=R9,C9=R10,C9=R11),4,
IF(OR(C9=R12,C9=R13),C11*2,0)))</f>
        <v>2</v>
      </c>
      <c r="N10" s="28"/>
      <c r="O10" s="199">
        <f>IF(L10&gt;2650,M10,M10/2)</f>
        <v>1</v>
      </c>
      <c r="P10" s="224">
        <v>0.69</v>
      </c>
      <c r="Q10" s="156">
        <f>L10*M10*P10/1000</f>
        <v>5.5199999999999999E-2</v>
      </c>
      <c r="R10" s="84" t="s">
        <v>110</v>
      </c>
    </row>
    <row r="11" spans="2:18" ht="35.1" customHeight="1" x14ac:dyDescent="0.25">
      <c r="B11" s="85" t="s">
        <v>141</v>
      </c>
      <c r="C11" s="24">
        <v>5</v>
      </c>
      <c r="D11" s="237" t="s">
        <v>182</v>
      </c>
      <c r="E11" s="238"/>
      <c r="F11" s="238"/>
      <c r="G11" s="238"/>
      <c r="H11" s="239"/>
      <c r="J11" s="54" t="s">
        <v>11</v>
      </c>
      <c r="K11" s="191" t="s">
        <v>12</v>
      </c>
      <c r="L11" s="89">
        <f>IF(C9=R8,C5+K5-52,
IF(C9=R9,C5+K5*2-104,
IF(OR(C9=R10,C9=R11,C9=R13),C5,
IF(C9=R12,C5+K5-39,0))))</f>
        <v>-13</v>
      </c>
      <c r="M11" s="90">
        <f>IF(C9=R10,2,
IF(OR(C9=R8,C9=R9,C9=R11),1,
IF(OR(C9=R12,C9=R13),C11,0)))</f>
        <v>1</v>
      </c>
      <c r="N11" s="28">
        <f>L11*M11</f>
        <v>-13</v>
      </c>
      <c r="O11" s="199">
        <f>CEILING((L11*M11)/5000,1)</f>
        <v>0</v>
      </c>
      <c r="P11" s="225">
        <v>0.80100000000000005</v>
      </c>
      <c r="Q11" s="156">
        <f t="shared" ref="Q11:Q15" si="0">L11*M11*P11/1000</f>
        <v>-1.0413E-2</v>
      </c>
      <c r="R11" s="84" t="s">
        <v>156</v>
      </c>
    </row>
    <row r="12" spans="2:18" ht="35.1" customHeight="1" x14ac:dyDescent="0.25">
      <c r="B12" s="92" t="s">
        <v>142</v>
      </c>
      <c r="C12" s="30" t="s">
        <v>98</v>
      </c>
      <c r="D12" s="237" t="s">
        <v>179</v>
      </c>
      <c r="E12" s="238"/>
      <c r="F12" s="238"/>
      <c r="G12" s="238"/>
      <c r="H12" s="239"/>
      <c r="J12" s="198" t="s">
        <v>13</v>
      </c>
      <c r="K12" s="195" t="s">
        <v>211</v>
      </c>
      <c r="L12" s="93">
        <f>IF(OR(C9=R8,C9=R9),L11+8,
IF(OR(C9=R10,C9=R11,C9=R12,C9=R13),L11,0))</f>
        <v>-5</v>
      </c>
      <c r="M12" s="94">
        <f>IF(OR(C9=R8,C9=R9,C9=R11,C9=R12),1,
IF(OR(C9=R10,C9=R13),2,0))</f>
        <v>1</v>
      </c>
      <c r="N12" s="28">
        <f t="shared" ref="N12" si="1">L12*M12</f>
        <v>-5</v>
      </c>
      <c r="O12" s="199">
        <f>CEILING((L12*M12)/5000,1)</f>
        <v>0</v>
      </c>
      <c r="P12" s="226">
        <v>0.25600000000000001</v>
      </c>
      <c r="Q12" s="156">
        <f t="shared" si="0"/>
        <v>-1.2800000000000001E-3</v>
      </c>
      <c r="R12" s="84" t="s">
        <v>121</v>
      </c>
    </row>
    <row r="13" spans="2:18" ht="34.5" customHeight="1" x14ac:dyDescent="0.25">
      <c r="B13" s="95" t="s">
        <v>148</v>
      </c>
      <c r="C13" s="30" t="s">
        <v>112</v>
      </c>
      <c r="D13" s="237" t="s">
        <v>149</v>
      </c>
      <c r="E13" s="238"/>
      <c r="F13" s="238"/>
      <c r="G13" s="238"/>
      <c r="H13" s="239"/>
      <c r="J13" s="54" t="s">
        <v>4</v>
      </c>
      <c r="K13" s="191" t="s">
        <v>5</v>
      </c>
      <c r="L13" s="89">
        <f>K5-78</f>
        <v>-39</v>
      </c>
      <c r="M13" s="90">
        <f>C10</f>
        <v>1</v>
      </c>
      <c r="N13" s="28">
        <f>L13*M13</f>
        <v>-39</v>
      </c>
      <c r="O13" s="199">
        <f>CEILING((L13*M13)/5000,1)</f>
        <v>0</v>
      </c>
      <c r="P13" s="225">
        <v>0.47399999999999998</v>
      </c>
      <c r="Q13" s="156">
        <f t="shared" si="0"/>
        <v>-1.8485999999999999E-2</v>
      </c>
      <c r="R13" s="84" t="s">
        <v>150</v>
      </c>
    </row>
    <row r="14" spans="2:18" ht="34.5" customHeight="1" x14ac:dyDescent="0.25">
      <c r="B14" s="96" t="s">
        <v>44</v>
      </c>
      <c r="C14" s="30" t="s">
        <v>112</v>
      </c>
      <c r="D14" s="272" t="s">
        <v>155</v>
      </c>
      <c r="E14" s="237"/>
      <c r="F14" s="237"/>
      <c r="G14" s="237"/>
      <c r="H14" s="273"/>
      <c r="J14" s="54" t="s">
        <v>6</v>
      </c>
      <c r="K14" s="191" t="s">
        <v>7</v>
      </c>
      <c r="L14" s="89">
        <f>K5-78</f>
        <v>-39</v>
      </c>
      <c r="M14" s="90">
        <f>C10</f>
        <v>1</v>
      </c>
      <c r="N14" s="28">
        <f>L14*M14</f>
        <v>-39</v>
      </c>
      <c r="O14" s="199">
        <f>CEILING((L14*M14)/5000,1)</f>
        <v>0</v>
      </c>
      <c r="P14" s="225">
        <v>0.379</v>
      </c>
      <c r="Q14" s="156">
        <f t="shared" si="0"/>
        <v>-1.4781000000000001E-2</v>
      </c>
      <c r="R14" s="84"/>
    </row>
    <row r="15" spans="2:18" ht="44.25" customHeight="1" thickBot="1" x14ac:dyDescent="0.3">
      <c r="B15" s="97" t="s">
        <v>158</v>
      </c>
      <c r="C15" s="30" t="s">
        <v>83</v>
      </c>
      <c r="D15" s="257" t="s">
        <v>193</v>
      </c>
      <c r="E15" s="257"/>
      <c r="F15" s="257"/>
      <c r="G15" s="257"/>
      <c r="H15" s="258"/>
      <c r="J15" s="54" t="s">
        <v>8</v>
      </c>
      <c r="K15" s="191" t="s">
        <v>9</v>
      </c>
      <c r="L15" s="89">
        <f>IF(C7&gt;0,K5-78,0)</f>
        <v>0</v>
      </c>
      <c r="M15" s="90">
        <f>M14*C7</f>
        <v>0</v>
      </c>
      <c r="N15" s="28">
        <f>L15*M15</f>
        <v>0</v>
      </c>
      <c r="O15" s="199">
        <f>IF(L15="нет",0,CEILING((L15*M15)/5000,1))</f>
        <v>0</v>
      </c>
      <c r="P15" s="225">
        <v>0.58499999999999996</v>
      </c>
      <c r="Q15" s="156">
        <f t="shared" si="0"/>
        <v>0</v>
      </c>
      <c r="R15" s="12" t="s">
        <v>203</v>
      </c>
    </row>
    <row r="16" spans="2:18" ht="35.1" customHeight="1" thickBot="1" x14ac:dyDescent="0.3">
      <c r="B16" s="96" t="s">
        <v>143</v>
      </c>
      <c r="C16" s="30" t="s">
        <v>112</v>
      </c>
      <c r="D16" s="240"/>
      <c r="E16" s="240"/>
      <c r="F16" s="240"/>
      <c r="G16" s="240"/>
      <c r="H16" s="241"/>
      <c r="J16" s="207"/>
      <c r="K16" s="204"/>
      <c r="L16" s="204"/>
      <c r="M16" s="204"/>
      <c r="N16" s="204"/>
      <c r="O16" s="208"/>
      <c r="P16" s="14"/>
      <c r="Q16" s="230">
        <f>SUM(Q10:Q15)/C10</f>
        <v>1.0239999999999997E-2</v>
      </c>
      <c r="R16" s="12" t="s">
        <v>204</v>
      </c>
    </row>
    <row r="17" spans="2:18" ht="35.1" customHeight="1" x14ac:dyDescent="0.25">
      <c r="B17" s="96" t="s">
        <v>181</v>
      </c>
      <c r="C17" s="40" t="s">
        <v>112</v>
      </c>
      <c r="D17" s="257" t="str">
        <f>IF((K5&gt;=650),R72,R71)</f>
        <v>невозможно установить, ширина двери должна быть не менее 650 мм</v>
      </c>
      <c r="E17" s="257"/>
      <c r="F17" s="257"/>
      <c r="G17" s="257"/>
      <c r="H17" s="258"/>
      <c r="J17" s="26"/>
      <c r="K17" s="19"/>
      <c r="L17" s="19"/>
      <c r="M17" s="19"/>
      <c r="N17" s="19"/>
      <c r="O17" s="27"/>
      <c r="P17" s="14"/>
    </row>
    <row r="18" spans="2:18" ht="35.1" customHeight="1" x14ac:dyDescent="0.25">
      <c r="B18" s="98" t="s">
        <v>191</v>
      </c>
      <c r="C18" s="40">
        <v>0</v>
      </c>
      <c r="D18" s="257" t="s">
        <v>180</v>
      </c>
      <c r="E18" s="257"/>
      <c r="F18" s="257"/>
      <c r="G18" s="257"/>
      <c r="H18" s="258"/>
      <c r="J18" s="26"/>
      <c r="K18" s="19"/>
      <c r="L18" s="19"/>
      <c r="M18" s="19"/>
      <c r="N18" s="19"/>
      <c r="O18" s="27"/>
      <c r="P18" s="14"/>
      <c r="R18" s="12" t="s">
        <v>207</v>
      </c>
    </row>
    <row r="19" spans="2:18" ht="35.1" customHeight="1" x14ac:dyDescent="0.25">
      <c r="B19" s="96" t="s">
        <v>175</v>
      </c>
      <c r="C19" s="40" t="s">
        <v>112</v>
      </c>
      <c r="D19" s="262" t="str">
        <f>IF(OR(C9=R8,C9=R10,C9=R12,C9=R13),"невозможно установить","допустимо")</f>
        <v>невозможно установить</v>
      </c>
      <c r="E19" s="263"/>
      <c r="F19" s="263"/>
      <c r="G19" s="263"/>
      <c r="H19" s="264"/>
      <c r="J19" s="26"/>
      <c r="K19" s="19"/>
      <c r="L19" s="19"/>
      <c r="M19" s="19"/>
      <c r="N19" s="19"/>
      <c r="O19" s="27"/>
      <c r="P19" s="14"/>
      <c r="R19" s="12" t="s">
        <v>204</v>
      </c>
    </row>
    <row r="20" spans="2:18" ht="35.1" customHeight="1" thickBot="1" x14ac:dyDescent="0.3">
      <c r="B20" s="99" t="s">
        <v>176</v>
      </c>
      <c r="C20" s="39" t="s">
        <v>112</v>
      </c>
      <c r="D20" s="259" t="str">
        <f>IF(OR(C9=R8,C9=R9,C9=R11),"невозможно установить",IF(C9=R12,"допустимо с механизмом синхронного последовательного открывания","допустимо"))</f>
        <v>невозможно установить</v>
      </c>
      <c r="E20" s="260"/>
      <c r="F20" s="260"/>
      <c r="G20" s="260"/>
      <c r="H20" s="261"/>
      <c r="J20" s="26"/>
      <c r="K20" s="19"/>
      <c r="L20" s="19"/>
      <c r="M20" s="19"/>
      <c r="N20" s="19"/>
      <c r="O20" s="27"/>
      <c r="P20" s="14"/>
    </row>
    <row r="21" spans="2:18" ht="22.5" customHeight="1" x14ac:dyDescent="0.25">
      <c r="F21" s="100"/>
      <c r="J21" s="189" t="s">
        <v>40</v>
      </c>
      <c r="K21" s="190"/>
      <c r="L21" s="190"/>
      <c r="M21" s="19"/>
      <c r="N21" s="19"/>
      <c r="O21" s="27"/>
      <c r="P21" s="14"/>
      <c r="R21" s="12" t="s">
        <v>97</v>
      </c>
    </row>
    <row r="22" spans="2:18" ht="35.1" customHeight="1" x14ac:dyDescent="0.25">
      <c r="B22" s="70" t="s">
        <v>41</v>
      </c>
      <c r="C22" s="101"/>
      <c r="D22" s="265"/>
      <c r="E22" s="265"/>
      <c r="F22" s="265"/>
      <c r="G22" s="265"/>
      <c r="H22" s="265"/>
      <c r="J22" s="245" t="s">
        <v>0</v>
      </c>
      <c r="K22" s="246"/>
      <c r="L22" s="247"/>
      <c r="M22" s="192" t="s">
        <v>1</v>
      </c>
      <c r="N22" s="192" t="s">
        <v>17</v>
      </c>
      <c r="O22" s="200"/>
      <c r="P22" s="14"/>
      <c r="R22" s="12" t="s">
        <v>98</v>
      </c>
    </row>
    <row r="23" spans="2:18" ht="15.75" x14ac:dyDescent="0.25">
      <c r="B23" s="253" t="s">
        <v>162</v>
      </c>
      <c r="C23" s="253"/>
      <c r="D23" s="253"/>
      <c r="E23" s="253"/>
      <c r="F23" s="253"/>
      <c r="G23" s="253"/>
      <c r="H23" s="253"/>
      <c r="J23" s="248" t="s">
        <v>160</v>
      </c>
      <c r="K23" s="249"/>
      <c r="L23" s="250"/>
      <c r="M23" s="194" t="s">
        <v>153</v>
      </c>
      <c r="N23" s="102">
        <f>C10</f>
        <v>1</v>
      </c>
      <c r="O23" s="201"/>
      <c r="P23" s="14"/>
    </row>
    <row r="24" spans="2:18" ht="15.75" x14ac:dyDescent="0.25">
      <c r="B24" s="253"/>
      <c r="C24" s="253"/>
      <c r="D24" s="253"/>
      <c r="E24" s="253"/>
      <c r="F24" s="253"/>
      <c r="G24" s="253"/>
      <c r="H24" s="253"/>
      <c r="J24" s="248" t="s">
        <v>72</v>
      </c>
      <c r="K24" s="249"/>
      <c r="L24" s="250"/>
      <c r="M24" s="194" t="s">
        <v>73</v>
      </c>
      <c r="N24" s="102">
        <f>IF(OR(C9=R8,C9=R9,C9=R10,C9=R11),N23,
IF(AND(C9=R12,C11&gt;1),1,
IF(AND(C9=R13,C11&gt;1),3,0)))</f>
        <v>1</v>
      </c>
      <c r="O24" s="201"/>
      <c r="P24" s="14"/>
    </row>
    <row r="25" spans="2:18" ht="15.75" x14ac:dyDescent="0.25">
      <c r="B25" s="253"/>
      <c r="C25" s="253"/>
      <c r="D25" s="253"/>
      <c r="E25" s="253"/>
      <c r="F25" s="253"/>
      <c r="G25" s="253"/>
      <c r="H25" s="253"/>
      <c r="J25" s="248" t="s">
        <v>79</v>
      </c>
      <c r="K25" s="249"/>
      <c r="L25" s="250"/>
      <c r="M25" s="194" t="s">
        <v>80</v>
      </c>
      <c r="N25" s="102">
        <f>IF(OR(C9=R8,C9=R10),ROUNDUP((N23*2-N31)/2,0),
IF(AND(N31=0,OR(C9=R9,C9=R11)),2,
IF(AND(C14=R25,OR(C9=R9,C9=R11)),0,
IF(AND(C14=R26,OR(C9=R9,C9=R11)),ROUNDUP((N23*2-N31)/2,0),
IF(OR(AND(C13=R25,OR(C9=R13,C9=R12),N31=0),AND(C13=R26,OR(C9=R13,C9=R12),N31&lt;&gt;0),AND(C13=R26,OR(C9=R13,C9=R12),N31=0)),1,0)))))</f>
        <v>1</v>
      </c>
      <c r="O25" s="201"/>
      <c r="P25" s="14"/>
      <c r="R25" s="12" t="s">
        <v>111</v>
      </c>
    </row>
    <row r="26" spans="2:18" ht="15.75" x14ac:dyDescent="0.25">
      <c r="J26" s="242" t="s">
        <v>81</v>
      </c>
      <c r="K26" s="243"/>
      <c r="L26" s="244"/>
      <c r="M26" s="65" t="s">
        <v>82</v>
      </c>
      <c r="N26" s="104">
        <f>IF(OR(C9=R8,C9=R10),N31,
IF(AND(N31&lt;&gt;0,C14=R25,OR(C9=R9,C9=R11)),4,
IF(AND(N31&lt;&gt;0,C14=R26,OR(C9=R9,C9=R11)),N31,
IF(AND(C13=R25,C9=R12,N31&lt;&gt;0),2,
IF(AND(C13=R26,C9=R12,N31&lt;&gt;0),1,
IF(AND(C13=R25,C9=R13,N31&lt;&gt;0),3,
IF(AND(C13=R26,C9=R13,N31&lt;&gt;0),2,
IF(AND(OR(C13=R26,C13=R25),C9=R13,N31=0),1,0))))))))</f>
        <v>0</v>
      </c>
      <c r="O26" s="201"/>
      <c r="P26" s="14"/>
      <c r="R26" s="12" t="s">
        <v>112</v>
      </c>
    </row>
    <row r="27" spans="2:18" ht="19.5" thickBot="1" x14ac:dyDescent="0.3">
      <c r="B27" s="105" t="s">
        <v>163</v>
      </c>
      <c r="C27" s="106"/>
      <c r="D27" s="106"/>
      <c r="E27" s="106"/>
      <c r="F27" s="106"/>
      <c r="G27" s="106"/>
      <c r="H27" s="106"/>
      <c r="J27" s="248" t="s">
        <v>44</v>
      </c>
      <c r="K27" s="249"/>
      <c r="L27" s="250"/>
      <c r="M27" s="194" t="s">
        <v>161</v>
      </c>
      <c r="N27" s="63">
        <f>IF(OR(AND(C9=R11,C14=R25),AND(C9=R9,C14=R25)),1,0)</f>
        <v>0</v>
      </c>
      <c r="O27" s="201"/>
      <c r="P27" s="14"/>
    </row>
    <row r="28" spans="2:18" ht="19.5" thickBot="1" x14ac:dyDescent="0.3">
      <c r="B28" s="107"/>
      <c r="C28" s="108"/>
      <c r="D28" s="108"/>
      <c r="E28" s="108"/>
      <c r="F28" s="108"/>
      <c r="G28" s="108"/>
      <c r="H28" s="109"/>
      <c r="J28" s="242" t="s">
        <v>157</v>
      </c>
      <c r="K28" s="243"/>
      <c r="L28" s="244"/>
      <c r="M28" s="194" t="s">
        <v>164</v>
      </c>
      <c r="N28" s="63">
        <f>IF(OR(AND(C9=R12,C13=R25),AND(C9=R13,C13=R25)),1,0)</f>
        <v>0</v>
      </c>
      <c r="O28" s="201"/>
      <c r="P28" s="14"/>
    </row>
    <row r="29" spans="2:18" ht="19.5" thickBot="1" x14ac:dyDescent="0.35">
      <c r="B29" s="110" t="s">
        <v>122</v>
      </c>
      <c r="C29" s="111">
        <f>C7+1</f>
        <v>1</v>
      </c>
      <c r="D29" s="112" t="str">
        <f>IF(C29&gt;5,R35,R36)</f>
        <v xml:space="preserve"> </v>
      </c>
      <c r="E29" s="113"/>
      <c r="F29" s="113"/>
      <c r="G29" s="113"/>
      <c r="H29" s="114"/>
      <c r="J29" s="242" t="s">
        <v>43</v>
      </c>
      <c r="K29" s="243"/>
      <c r="L29" s="244"/>
      <c r="M29" s="194" t="s">
        <v>56</v>
      </c>
      <c r="N29" s="63">
        <f>IF(AND(C9=R12,C12=R21),C11-1,
IF(AND(C9=R13,C12=R21),C11-2,0))</f>
        <v>0</v>
      </c>
      <c r="O29" s="201"/>
      <c r="P29" s="14"/>
      <c r="R29" s="115" t="s">
        <v>19</v>
      </c>
    </row>
    <row r="30" spans="2:18" ht="18.75" x14ac:dyDescent="0.25">
      <c r="B30" s="116"/>
      <c r="C30" s="117"/>
      <c r="D30" s="117"/>
      <c r="E30" s="117"/>
      <c r="F30" s="117"/>
      <c r="G30" s="117"/>
      <c r="H30" s="118"/>
      <c r="J30" s="242" t="s">
        <v>57</v>
      </c>
      <c r="K30" s="243"/>
      <c r="L30" s="244"/>
      <c r="M30" s="194" t="s">
        <v>58</v>
      </c>
      <c r="N30" s="63">
        <f>IF(AND(C9=R12,C12=R22),C11-1,
IF(AND(C9=R13,C12=R22),C11-2,0))</f>
        <v>0</v>
      </c>
      <c r="O30" s="201"/>
      <c r="P30" s="14"/>
      <c r="R30" s="115" t="s">
        <v>20</v>
      </c>
    </row>
    <row r="31" spans="2:18" ht="18.75" x14ac:dyDescent="0.25">
      <c r="B31" s="116"/>
      <c r="C31" s="117"/>
      <c r="D31" s="117"/>
      <c r="E31" s="117"/>
      <c r="F31" s="117"/>
      <c r="G31" s="117"/>
      <c r="H31" s="118"/>
      <c r="J31" s="242" t="s">
        <v>51</v>
      </c>
      <c r="K31" s="243"/>
      <c r="L31" s="244"/>
      <c r="M31" s="194" t="s">
        <v>52</v>
      </c>
      <c r="N31" s="63">
        <f>IF(OR(D17="невозможно установить",C17="нет"),0,
IF(AND(C9=R8,K5&gt;=900),2,
IF(AND(C9=R8,K5&gt;=650,K5&lt;900),1,
IF(AND(C14=R26,OR(C9=R9,C9=R11),K5&gt;=900),4,
IF(AND(C14=R26,OR(C9=R9,C9=R11),K5&lt;900),2,
IF(AND(C14=R25,OR(C9=R9,C9=R11)),2,
IF(AND(C9=R10,K5&gt;=900),4,
IF(AND(C9=R10,K5&gt;=650,K5&lt;900),2,
IF(C9=R12,C10,
IF(C9=R13,C10-1,0))))))))))</f>
        <v>0</v>
      </c>
      <c r="O31" s="201"/>
      <c r="P31" s="14"/>
      <c r="R31" s="115" t="s">
        <v>21</v>
      </c>
    </row>
    <row r="32" spans="2:18" ht="18.75" x14ac:dyDescent="0.25">
      <c r="B32" s="119" t="s">
        <v>123</v>
      </c>
      <c r="C32" s="120" t="s">
        <v>124</v>
      </c>
      <c r="D32" s="121" t="s">
        <v>87</v>
      </c>
      <c r="E32" s="120" t="s">
        <v>125</v>
      </c>
      <c r="F32" s="120" t="s">
        <v>126</v>
      </c>
      <c r="G32" s="120" t="s">
        <v>145</v>
      </c>
      <c r="H32" s="122" t="s">
        <v>146</v>
      </c>
      <c r="J32" s="248" t="s">
        <v>91</v>
      </c>
      <c r="K32" s="249"/>
      <c r="L32" s="250"/>
      <c r="M32" s="194" t="s">
        <v>165</v>
      </c>
      <c r="N32" s="63">
        <f>M13*2+M14*2+M15*2</f>
        <v>4</v>
      </c>
      <c r="O32" s="201"/>
      <c r="P32" s="14"/>
      <c r="Q32" s="156">
        <f>IF(C33=$R$29,(E33*F33/1000000)*8,IF(C33=$R$30,(E33*F33/1000000)*6.5,(E33*F33/1000000)*11))</f>
        <v>1.8479999999999998E-3</v>
      </c>
    </row>
    <row r="33" spans="2:18" ht="18.75" x14ac:dyDescent="0.25">
      <c r="B33" s="123" t="s">
        <v>127</v>
      </c>
      <c r="C33" s="35" t="s">
        <v>21</v>
      </c>
      <c r="D33" s="146">
        <v>450</v>
      </c>
      <c r="E33" s="36">
        <f>K6-IF(E37=0,0,IF(C37=R29,E37,IF(C37=R30,E37+2,E37+3)))-IF(E36=0,0,IF(C36=R29,E36,IF(C36=R30,E36+2,E36+3)))-IF(E35=0,0,IF(C35=R29,E35,IF(C35=R30,E35+2,E35+3)))-IF(E34=0,0,IF(C34=R29,E34,IF(C34=R30,E34+2,E34+3)))-44-IF(C33=R30,2,IF(C33=R31,3,0))-C7*8</f>
        <v>-7</v>
      </c>
      <c r="F33" s="124">
        <f>IF(C33=$R$31,$K$5-63,IF(C33=$R$30,$K$5-62,$K$5-60))</f>
        <v>-24</v>
      </c>
      <c r="G33" s="125">
        <f>$C$10</f>
        <v>1</v>
      </c>
      <c r="H33" s="126">
        <f>E33*F33*D33*G33/1000000</f>
        <v>7.5600000000000001E-2</v>
      </c>
      <c r="I33" s="127">
        <f>IF(E33&lt;&gt;0,1,0)</f>
        <v>1</v>
      </c>
      <c r="J33" s="248" t="s">
        <v>69</v>
      </c>
      <c r="K33" s="249"/>
      <c r="L33" s="250"/>
      <c r="M33" s="194" t="s">
        <v>70</v>
      </c>
      <c r="N33" s="61">
        <f>IF(OR(C9=R8,C9=R9),ROUNDUP(L11/500+1,0),0)</f>
        <v>1</v>
      </c>
      <c r="O33" s="201"/>
      <c r="P33" s="14"/>
      <c r="Q33" s="156">
        <f t="shared" ref="Q33:Q36" si="2">IF(C34=$R$29,(E34*F34/1000000)*8,IF(C34=$R$30,(E34*F34/1000000)*6.5,(E34*F34/1000000)*11))</f>
        <v>0</v>
      </c>
    </row>
    <row r="34" spans="2:18" ht="18.75" x14ac:dyDescent="0.25">
      <c r="B34" s="123" t="s">
        <v>128</v>
      </c>
      <c r="C34" s="35" t="s">
        <v>20</v>
      </c>
      <c r="D34" s="146">
        <v>450</v>
      </c>
      <c r="E34" s="37">
        <v>0</v>
      </c>
      <c r="F34" s="124">
        <f>IF(C34=$R$31,$K$5-63,IF(C34=$R$30,$K$5-62,$K$5-60))</f>
        <v>-23</v>
      </c>
      <c r="G34" s="125">
        <f t="shared" ref="G34:G36" si="3">IF(E34&lt;&gt;0,$C$10,0)</f>
        <v>0</v>
      </c>
      <c r="H34" s="126">
        <f t="shared" ref="H34:H37" si="4">E34*F34*D34*G34/1000000</f>
        <v>0</v>
      </c>
      <c r="I34" s="127">
        <f t="shared" ref="I34:I37" si="5">IF(E34&lt;&gt;0,1,0)</f>
        <v>0</v>
      </c>
      <c r="J34" s="248" t="s">
        <v>166</v>
      </c>
      <c r="K34" s="249"/>
      <c r="L34" s="250"/>
      <c r="M34" s="194" t="s">
        <v>55</v>
      </c>
      <c r="N34" s="63">
        <f>IF(OR(C9=R8,C9=R9),1,0)</f>
        <v>1</v>
      </c>
      <c r="O34" s="201"/>
      <c r="P34" s="14"/>
      <c r="Q34" s="156">
        <f t="shared" si="2"/>
        <v>0</v>
      </c>
    </row>
    <row r="35" spans="2:18" ht="18.75" x14ac:dyDescent="0.25">
      <c r="B35" s="123" t="s">
        <v>129</v>
      </c>
      <c r="C35" s="35" t="s">
        <v>20</v>
      </c>
      <c r="D35" s="146">
        <v>450</v>
      </c>
      <c r="E35" s="37">
        <v>0</v>
      </c>
      <c r="F35" s="124">
        <f>IF(C35=$R$31,$K$5-63,IF(C35=$R$30,$K$5-62,$K$5-60))</f>
        <v>-23</v>
      </c>
      <c r="G35" s="125">
        <f t="shared" si="3"/>
        <v>0</v>
      </c>
      <c r="H35" s="126">
        <f t="shared" si="4"/>
        <v>0</v>
      </c>
      <c r="I35" s="127">
        <f t="shared" si="5"/>
        <v>0</v>
      </c>
      <c r="J35" s="242" t="s">
        <v>92</v>
      </c>
      <c r="K35" s="243"/>
      <c r="L35" s="244"/>
      <c r="M35" s="194" t="s">
        <v>167</v>
      </c>
      <c r="N35" s="130">
        <f>ROUNDUP((IF(C33=R30,(E33+F33)*2*G33,0)+IF(C34=R30,(E34+F34)*2*G34,0)+IF(C35=R30,(E35+F35)*2*G35,0)+IF(C36=R30,(E36+F36)*2*G36,0)+IF(C37=R30,(E37+F37)*2*G37,0))/1000,0)</f>
        <v>0</v>
      </c>
      <c r="O35" s="201"/>
      <c r="P35" s="14"/>
      <c r="Q35" s="156">
        <f t="shared" si="2"/>
        <v>0</v>
      </c>
      <c r="R35" s="131" t="s">
        <v>132</v>
      </c>
    </row>
    <row r="36" spans="2:18" ht="19.5" thickBot="1" x14ac:dyDescent="0.3">
      <c r="B36" s="123" t="s">
        <v>130</v>
      </c>
      <c r="C36" s="35" t="s">
        <v>20</v>
      </c>
      <c r="D36" s="146">
        <v>450</v>
      </c>
      <c r="E36" s="37">
        <v>0</v>
      </c>
      <c r="F36" s="124">
        <f>IF(C36=$R$31,$K$5-63,IF(C36=$R$30,$K$5-62,$K$5-60))</f>
        <v>-23</v>
      </c>
      <c r="G36" s="125">
        <f t="shared" si="3"/>
        <v>0</v>
      </c>
      <c r="H36" s="126">
        <f t="shared" si="4"/>
        <v>0</v>
      </c>
      <c r="I36" s="127">
        <f t="shared" si="5"/>
        <v>0</v>
      </c>
      <c r="J36" s="242" t="s">
        <v>93</v>
      </c>
      <c r="K36" s="243"/>
      <c r="L36" s="244"/>
      <c r="M36" s="194" t="s">
        <v>168</v>
      </c>
      <c r="N36" s="130">
        <f>ROUNDUP((IF(C33=R31,(E33+F33)*2*G33,0)+IF(C34=R31,(E34+F34)*2*G34,0)+IF(C35=R31,(E35+F35)*2*G35,0)+IF(C36=R31,(E36+F36)*2*G36,0)+IF(C37=R31,(E37+F37)*2*G37,0))/1000,0)</f>
        <v>-1</v>
      </c>
      <c r="O36" s="201"/>
      <c r="P36" s="14"/>
      <c r="Q36" s="156">
        <f t="shared" si="2"/>
        <v>0</v>
      </c>
      <c r="R36" s="131" t="s">
        <v>107</v>
      </c>
    </row>
    <row r="37" spans="2:18" ht="19.5" thickBot="1" x14ac:dyDescent="0.3">
      <c r="B37" s="132" t="s">
        <v>131</v>
      </c>
      <c r="C37" s="35" t="s">
        <v>21</v>
      </c>
      <c r="D37" s="146">
        <v>450</v>
      </c>
      <c r="E37" s="37">
        <v>0</v>
      </c>
      <c r="F37" s="124">
        <f>IF(C37=$R$31,$K$5-63,IF(C37=$R$30,$K$5-62,$K$5-60))</f>
        <v>-24</v>
      </c>
      <c r="G37" s="125">
        <f>IF(E37&lt;&gt;0,$C$10,0)</f>
        <v>0</v>
      </c>
      <c r="H37" s="126">
        <f t="shared" si="4"/>
        <v>0</v>
      </c>
      <c r="I37" s="127">
        <f t="shared" si="5"/>
        <v>0</v>
      </c>
      <c r="J37" s="242" t="s">
        <v>143</v>
      </c>
      <c r="K37" s="243"/>
      <c r="L37" s="244"/>
      <c r="M37" s="194" t="s">
        <v>74</v>
      </c>
      <c r="N37" s="63">
        <f>IF(AND(C16=R25,OR(C9=R12,C9=R8,C9=R13)),1,IF(AND(OR(C9=R10,C9=R9,C9=R11),C16=R25),2,0))</f>
        <v>0</v>
      </c>
      <c r="O37" s="201"/>
      <c r="P37" s="14"/>
      <c r="Q37" s="230">
        <f>SUM(Q32:Q36)</f>
        <v>1.8479999999999998E-3</v>
      </c>
    </row>
    <row r="38" spans="2:18" ht="19.5" thickBot="1" x14ac:dyDescent="0.3">
      <c r="B38" s="116"/>
      <c r="C38" s="117"/>
      <c r="D38" s="117"/>
      <c r="E38" s="266" t="s">
        <v>88</v>
      </c>
      <c r="F38" s="267"/>
      <c r="G38" s="268"/>
      <c r="H38" s="133">
        <f>SUM(H33:H37)</f>
        <v>7.5600000000000001E-2</v>
      </c>
      <c r="J38" s="242" t="s">
        <v>90</v>
      </c>
      <c r="K38" s="243"/>
      <c r="L38" s="244"/>
      <c r="M38" s="194" t="s">
        <v>169</v>
      </c>
      <c r="N38" s="63">
        <f>IF(C15=R38,N32,0)</f>
        <v>0</v>
      </c>
      <c r="O38" s="201"/>
      <c r="P38" s="14"/>
      <c r="R38" s="12" t="s">
        <v>90</v>
      </c>
    </row>
    <row r="39" spans="2:18" ht="22.5" x14ac:dyDescent="0.25">
      <c r="B39" s="116"/>
      <c r="C39" s="134" t="str">
        <f>IF((SUM(I33:I37)/C29)&lt;&gt;1,R45,R46)</f>
        <v>Верно внесены высоты вставок</v>
      </c>
      <c r="D39" s="113">
        <f>IF(C39=R46,1,0)</f>
        <v>1</v>
      </c>
      <c r="E39" s="113"/>
      <c r="F39" s="113"/>
      <c r="G39" s="113"/>
      <c r="H39" s="118"/>
      <c r="J39" s="242" t="s">
        <v>184</v>
      </c>
      <c r="K39" s="243"/>
      <c r="L39" s="244"/>
      <c r="M39" s="64" t="s">
        <v>183</v>
      </c>
      <c r="N39" s="55">
        <f>IF(C15=R39,N32,0)</f>
        <v>0</v>
      </c>
      <c r="O39" s="201"/>
      <c r="P39" s="14"/>
      <c r="R39" s="135" t="s">
        <v>159</v>
      </c>
    </row>
    <row r="40" spans="2:18" ht="19.5" thickBot="1" x14ac:dyDescent="0.3">
      <c r="B40" s="116"/>
      <c r="C40" s="117"/>
      <c r="D40" s="117"/>
      <c r="E40" s="117"/>
      <c r="F40" s="117"/>
      <c r="G40" s="117"/>
      <c r="H40" s="118"/>
      <c r="J40" s="234" t="s">
        <v>83</v>
      </c>
      <c r="K40" s="235"/>
      <c r="L40" s="236"/>
      <c r="M40" s="194" t="s">
        <v>84</v>
      </c>
      <c r="N40" s="136">
        <f>IF(C15=R41,ROUNDUP(L10*M10/1000,0),0)</f>
        <v>1</v>
      </c>
      <c r="O40" s="201"/>
      <c r="P40" s="14"/>
      <c r="R40" s="135" t="s">
        <v>147</v>
      </c>
    </row>
    <row r="41" spans="2:18" ht="19.5" thickBot="1" x14ac:dyDescent="0.3">
      <c r="B41" s="116"/>
      <c r="C41" s="137"/>
      <c r="D41" s="137"/>
      <c r="E41" s="138"/>
      <c r="F41" s="138"/>
      <c r="G41" s="138"/>
      <c r="H41" s="118"/>
      <c r="J41" s="234" t="s">
        <v>147</v>
      </c>
      <c r="K41" s="235"/>
      <c r="L41" s="236"/>
      <c r="M41" s="78" t="s">
        <v>174</v>
      </c>
      <c r="N41" s="136">
        <f>IF(C15=R40,ROUNDUP(L10*M10/1000,0),0)</f>
        <v>0</v>
      </c>
      <c r="O41" s="201"/>
      <c r="P41" s="14"/>
      <c r="Q41" s="231">
        <f>(Q16+Q37)*1.05</f>
        <v>1.2692399999999998E-2</v>
      </c>
      <c r="R41" s="12" t="s">
        <v>83</v>
      </c>
    </row>
    <row r="42" spans="2:18" ht="19.5" thickBot="1" x14ac:dyDescent="0.3">
      <c r="B42" s="116"/>
      <c r="C42" s="117"/>
      <c r="D42" s="117"/>
      <c r="E42" s="117"/>
      <c r="F42" s="117"/>
      <c r="G42" s="117"/>
      <c r="H42" s="118"/>
      <c r="J42" s="234" t="s">
        <v>170</v>
      </c>
      <c r="K42" s="235"/>
      <c r="L42" s="236"/>
      <c r="M42" s="194" t="s">
        <v>171</v>
      </c>
      <c r="N42" s="61">
        <f>IF(N41&gt;0,M10*2,0)</f>
        <v>0</v>
      </c>
      <c r="O42" s="201"/>
      <c r="P42" s="14"/>
      <c r="R42" s="19"/>
    </row>
    <row r="43" spans="2:18" ht="19.5" thickBot="1" x14ac:dyDescent="0.3">
      <c r="B43" s="116"/>
      <c r="C43" s="138" t="str">
        <f>IF(AND(SUM(I33:I37)/C29=1,E37=0,C29&lt;&gt;1),R49,R50)</f>
        <v xml:space="preserve"> </v>
      </c>
      <c r="D43" s="138"/>
      <c r="E43" s="138"/>
      <c r="F43" s="138"/>
      <c r="G43" s="188" t="s">
        <v>210</v>
      </c>
      <c r="H43" s="232">
        <f>ROUNDUP(Q41,0)</f>
        <v>1</v>
      </c>
      <c r="J43" s="234" t="s">
        <v>172</v>
      </c>
      <c r="K43" s="235"/>
      <c r="L43" s="236"/>
      <c r="M43" s="194" t="s">
        <v>173</v>
      </c>
      <c r="N43" s="61">
        <f>C18</f>
        <v>0</v>
      </c>
      <c r="O43" s="201"/>
      <c r="P43" s="14"/>
    </row>
    <row r="44" spans="2:18" ht="18.75" x14ac:dyDescent="0.25">
      <c r="B44" s="116"/>
      <c r="C44" s="117"/>
      <c r="D44" s="117"/>
      <c r="E44" s="117"/>
      <c r="F44" s="117"/>
      <c r="G44" s="117"/>
      <c r="H44" s="118"/>
      <c r="J44" s="234" t="s">
        <v>175</v>
      </c>
      <c r="K44" s="235"/>
      <c r="L44" s="236"/>
      <c r="M44" s="194" t="s">
        <v>177</v>
      </c>
      <c r="N44" s="61">
        <f>IF(OR(D19="невозможно установить",C19="нет"),0,
IF(OR(C9=R9,C9=R11),1,0))</f>
        <v>0</v>
      </c>
      <c r="O44" s="201"/>
      <c r="P44" s="14"/>
    </row>
    <row r="45" spans="2:18" ht="18.75" x14ac:dyDescent="0.25">
      <c r="B45" s="116"/>
      <c r="C45" s="117"/>
      <c r="D45" s="117"/>
      <c r="E45" s="117"/>
      <c r="F45" s="117"/>
      <c r="G45" s="117"/>
      <c r="H45" s="118"/>
      <c r="J45" s="234" t="s">
        <v>176</v>
      </c>
      <c r="K45" s="235"/>
      <c r="L45" s="236"/>
      <c r="M45" s="194" t="s">
        <v>178</v>
      </c>
      <c r="N45" s="61">
        <f>IF(C20=R26,0,
IF(C9=R10,1,
IF(AND(OR(C9=R12,C9=R13),C13=R25),1,
IF(AND(C9=R13,C13=R26),C11-1,0))))</f>
        <v>0</v>
      </c>
      <c r="O45" s="201"/>
      <c r="P45" s="14"/>
      <c r="R45" s="131" t="s">
        <v>134</v>
      </c>
    </row>
    <row r="46" spans="2:18" ht="18.75" x14ac:dyDescent="0.3">
      <c r="B46" s="139"/>
      <c r="C46" s="140"/>
      <c r="D46" s="113"/>
      <c r="E46" s="113"/>
      <c r="F46" s="113"/>
      <c r="G46" s="113"/>
      <c r="H46" s="118"/>
      <c r="J46" s="26"/>
      <c r="K46" s="19"/>
      <c r="L46" s="151"/>
      <c r="M46" s="151"/>
      <c r="N46" s="151"/>
      <c r="O46" s="202"/>
      <c r="P46" s="14"/>
      <c r="R46" s="131" t="s">
        <v>135</v>
      </c>
    </row>
    <row r="47" spans="2:18" x14ac:dyDescent="0.25">
      <c r="B47" s="26"/>
      <c r="C47" s="19"/>
      <c r="D47" s="19"/>
      <c r="E47" s="19"/>
      <c r="F47" s="19"/>
      <c r="G47" s="19"/>
      <c r="H47" s="27"/>
      <c r="J47" s="26"/>
      <c r="K47" s="19"/>
      <c r="L47" s="19"/>
      <c r="M47" s="19"/>
      <c r="N47" s="19"/>
      <c r="O47" s="27"/>
      <c r="P47" s="14"/>
    </row>
    <row r="48" spans="2:18" ht="18.75" x14ac:dyDescent="0.3">
      <c r="B48" s="139"/>
      <c r="C48" s="140"/>
      <c r="D48" s="113"/>
      <c r="E48" s="113"/>
      <c r="F48" s="113"/>
      <c r="G48" s="113"/>
      <c r="H48" s="114"/>
      <c r="J48" s="26"/>
      <c r="K48" s="19"/>
      <c r="L48" s="19"/>
      <c r="M48" s="19"/>
      <c r="N48" s="19"/>
      <c r="O48" s="27"/>
      <c r="P48" s="223"/>
    </row>
    <row r="49" spans="2:18" ht="18.75" x14ac:dyDescent="0.3">
      <c r="B49" s="139"/>
      <c r="C49" s="140"/>
      <c r="D49" s="113"/>
      <c r="E49" s="113"/>
      <c r="F49" s="113"/>
      <c r="G49" s="113"/>
      <c r="H49" s="114"/>
      <c r="J49" s="26"/>
      <c r="K49" s="19"/>
      <c r="L49" s="19"/>
      <c r="M49" s="19"/>
      <c r="N49" s="19"/>
      <c r="O49" s="27"/>
      <c r="P49" s="221"/>
      <c r="R49" s="141" t="s">
        <v>144</v>
      </c>
    </row>
    <row r="50" spans="2:18" ht="18.75" x14ac:dyDescent="0.3">
      <c r="B50" s="139"/>
      <c r="C50" s="140"/>
      <c r="D50" s="113"/>
      <c r="E50" s="113"/>
      <c r="F50" s="113"/>
      <c r="G50" s="113"/>
      <c r="H50" s="114"/>
      <c r="J50" s="26"/>
      <c r="K50" s="19"/>
      <c r="L50" s="19"/>
      <c r="M50" s="19"/>
      <c r="N50" s="19"/>
      <c r="O50" s="27"/>
      <c r="R50" s="12" t="s">
        <v>107</v>
      </c>
    </row>
    <row r="51" spans="2:18" ht="19.5" thickBot="1" x14ac:dyDescent="0.35">
      <c r="B51" s="142"/>
      <c r="C51" s="143"/>
      <c r="D51" s="144"/>
      <c r="E51" s="144"/>
      <c r="F51" s="144"/>
      <c r="G51" s="144"/>
      <c r="H51" s="145"/>
      <c r="J51" s="33"/>
      <c r="K51" s="32"/>
      <c r="L51" s="32"/>
      <c r="M51" s="32"/>
      <c r="N51" s="32"/>
      <c r="O51" s="203"/>
      <c r="R51" s="19"/>
    </row>
    <row r="52" spans="2:18" x14ac:dyDescent="0.25">
      <c r="R52" s="19"/>
    </row>
    <row r="53" spans="2:18" x14ac:dyDescent="0.25">
      <c r="R53" s="77" t="s">
        <v>46</v>
      </c>
    </row>
    <row r="54" spans="2:18" x14ac:dyDescent="0.25">
      <c r="R54" s="77" t="s">
        <v>151</v>
      </c>
    </row>
    <row r="55" spans="2:18" x14ac:dyDescent="0.25">
      <c r="R55" s="77" t="s">
        <v>152</v>
      </c>
    </row>
    <row r="56" spans="2:18" x14ac:dyDescent="0.25">
      <c r="R56" s="77" t="s">
        <v>47</v>
      </c>
    </row>
    <row r="57" spans="2:18" x14ac:dyDescent="0.25">
      <c r="R57" s="77" t="s">
        <v>48</v>
      </c>
    </row>
    <row r="58" spans="2:18" x14ac:dyDescent="0.25">
      <c r="R58" s="19"/>
    </row>
    <row r="59" spans="2:18" x14ac:dyDescent="0.25">
      <c r="R59" s="19"/>
    </row>
    <row r="60" spans="2:18" x14ac:dyDescent="0.25">
      <c r="R60" s="19"/>
    </row>
    <row r="61" spans="2:18" ht="15.75" x14ac:dyDescent="0.25">
      <c r="R61" s="81">
        <v>0</v>
      </c>
    </row>
    <row r="62" spans="2:18" ht="15.75" x14ac:dyDescent="0.25">
      <c r="R62" s="81">
        <v>1</v>
      </c>
    </row>
    <row r="63" spans="2:18" ht="15.75" x14ac:dyDescent="0.25">
      <c r="R63" s="81">
        <v>2</v>
      </c>
    </row>
    <row r="64" spans="2:18" ht="15.75" x14ac:dyDescent="0.25">
      <c r="R64" s="81">
        <v>3</v>
      </c>
    </row>
    <row r="65" spans="18:18" ht="15.75" x14ac:dyDescent="0.25">
      <c r="R65" s="81">
        <v>4</v>
      </c>
    </row>
    <row r="66" spans="18:18" ht="15.75" x14ac:dyDescent="0.25">
      <c r="R66" s="81">
        <v>5</v>
      </c>
    </row>
    <row r="71" spans="18:18" x14ac:dyDescent="0.25">
      <c r="R71" s="12" t="s">
        <v>205</v>
      </c>
    </row>
    <row r="72" spans="18:18" x14ac:dyDescent="0.25">
      <c r="R72" s="12" t="s">
        <v>204</v>
      </c>
    </row>
  </sheetData>
  <sheetProtection algorithmName="SHA-512" hashValue="0SayA5PUdN/lT0JJxtwXwzfedngOyAYpxhyzKUYwl6z+FrO25kiPnRvvwgEpMbmJJAqau4T1TS4fBzP0dHqpsg==" saltValue="ffY9imNDFKxmqzR9yWbQtw==" spinCount="100000" sheet="1" objects="1" scenarios="1" selectLockedCells="1"/>
  <mergeCells count="51">
    <mergeCell ref="J2:O2"/>
    <mergeCell ref="B1:N1"/>
    <mergeCell ref="B2:H2"/>
    <mergeCell ref="B3:C3"/>
    <mergeCell ref="J3:K3"/>
    <mergeCell ref="D4:H4"/>
    <mergeCell ref="D14:H14"/>
    <mergeCell ref="D5:H5"/>
    <mergeCell ref="D6:H6"/>
    <mergeCell ref="D7:H7"/>
    <mergeCell ref="D11:H11"/>
    <mergeCell ref="D8:H8"/>
    <mergeCell ref="J42:L42"/>
    <mergeCell ref="D18:H18"/>
    <mergeCell ref="J43:L43"/>
    <mergeCell ref="D19:H19"/>
    <mergeCell ref="D10:H10"/>
    <mergeCell ref="D22:H22"/>
    <mergeCell ref="J38:L38"/>
    <mergeCell ref="J35:L35"/>
    <mergeCell ref="J36:L36"/>
    <mergeCell ref="J29:L29"/>
    <mergeCell ref="E38:G38"/>
    <mergeCell ref="J40:L40"/>
    <mergeCell ref="J39:L39"/>
    <mergeCell ref="J37:L37"/>
    <mergeCell ref="J7:M7"/>
    <mergeCell ref="B23:H25"/>
    <mergeCell ref="J24:L24"/>
    <mergeCell ref="D9:H9"/>
    <mergeCell ref="J8:M8"/>
    <mergeCell ref="D17:H17"/>
    <mergeCell ref="D12:H12"/>
    <mergeCell ref="D15:H15"/>
    <mergeCell ref="D20:H20"/>
    <mergeCell ref="J45:L45"/>
    <mergeCell ref="J44:L44"/>
    <mergeCell ref="D13:H13"/>
    <mergeCell ref="D16:H16"/>
    <mergeCell ref="J30:L30"/>
    <mergeCell ref="J28:L28"/>
    <mergeCell ref="J31:L31"/>
    <mergeCell ref="J22:L22"/>
    <mergeCell ref="J23:L23"/>
    <mergeCell ref="J25:L25"/>
    <mergeCell ref="J26:L26"/>
    <mergeCell ref="J41:L41"/>
    <mergeCell ref="J33:L33"/>
    <mergeCell ref="J34:L34"/>
    <mergeCell ref="J32:L32"/>
    <mergeCell ref="J27:L27"/>
  </mergeCells>
  <conditionalFormatting sqref="K5:K6 N23:O25 N41 N27:N28 N30:N38 O26:O45 L10:O15">
    <cfRule type="expression" dxfId="125" priority="80">
      <formula>$C$5=0</formula>
    </cfRule>
  </conditionalFormatting>
  <conditionalFormatting sqref="C5:C8 C22 C12:C16">
    <cfRule type="cellIs" dxfId="124" priority="67" operator="greaterThan">
      <formula>0</formula>
    </cfRule>
  </conditionalFormatting>
  <conditionalFormatting sqref="C9">
    <cfRule type="cellIs" dxfId="123" priority="63" operator="greaterThan">
      <formula>0</formula>
    </cfRule>
  </conditionalFormatting>
  <conditionalFormatting sqref="D5:H6">
    <cfRule type="expression" dxfId="122" priority="6">
      <formula>$C5=0</formula>
    </cfRule>
  </conditionalFormatting>
  <conditionalFormatting sqref="N29">
    <cfRule type="expression" dxfId="121" priority="41">
      <formula>$C$5=0</formula>
    </cfRule>
  </conditionalFormatting>
  <conditionalFormatting sqref="C17:C20">
    <cfRule type="cellIs" dxfId="120" priority="37" operator="greaterThan">
      <formula>0</formula>
    </cfRule>
  </conditionalFormatting>
  <conditionalFormatting sqref="O46">
    <cfRule type="expression" dxfId="119" priority="29">
      <formula>$C$5=0</formula>
    </cfRule>
  </conditionalFormatting>
  <conditionalFormatting sqref="N40">
    <cfRule type="expression" dxfId="118" priority="19">
      <formula>$C$5=0</formula>
    </cfRule>
  </conditionalFormatting>
  <conditionalFormatting sqref="N42">
    <cfRule type="expression" dxfId="117" priority="18">
      <formula>$C$5=0</formula>
    </cfRule>
  </conditionalFormatting>
  <conditionalFormatting sqref="N43">
    <cfRule type="expression" dxfId="116" priority="17">
      <formula>$C$5=0</formula>
    </cfRule>
  </conditionalFormatting>
  <conditionalFormatting sqref="N44">
    <cfRule type="expression" dxfId="115" priority="16">
      <formula>$C$5=0</formula>
    </cfRule>
  </conditionalFormatting>
  <conditionalFormatting sqref="N45">
    <cfRule type="expression" dxfId="114" priority="15">
      <formula>$C$5=0</formula>
    </cfRule>
  </conditionalFormatting>
  <conditionalFormatting sqref="D5:H20">
    <cfRule type="expression" dxfId="113" priority="2">
      <formula>$C$6=0</formula>
    </cfRule>
  </conditionalFormatting>
  <conditionalFormatting sqref="D20:H20">
    <cfRule type="expression" dxfId="112" priority="13">
      <formula>$D$20="невозможно установить"</formula>
    </cfRule>
  </conditionalFormatting>
  <conditionalFormatting sqref="K5">
    <cfRule type="expression" dxfId="111" priority="5">
      <formula>AND(OR($K$5&lt;600,$K$5&gt;1200),$C$5&gt;0)</formula>
    </cfRule>
  </conditionalFormatting>
  <conditionalFormatting sqref="N26 N39">
    <cfRule type="expression" dxfId="110" priority="4">
      <formula>$C$5=0</formula>
    </cfRule>
  </conditionalFormatting>
  <conditionalFormatting sqref="H38 E33 F33:H37 H43">
    <cfRule type="expression" dxfId="109" priority="3">
      <formula>$C$5=0</formula>
    </cfRule>
  </conditionalFormatting>
  <conditionalFormatting sqref="K6">
    <cfRule type="expression" dxfId="108" priority="1">
      <formula>$K$6&gt;3200</formula>
    </cfRule>
  </conditionalFormatting>
  <conditionalFormatting sqref="C39">
    <cfRule type="expression" dxfId="107" priority="150">
      <formula>$C$39=$R$45</formula>
    </cfRule>
    <cfRule type="expression" dxfId="106" priority="151">
      <formula>$C$39=$R$46</formula>
    </cfRule>
  </conditionalFormatting>
  <conditionalFormatting sqref="D29:G29">
    <cfRule type="expression" dxfId="105" priority="152">
      <formula>$D$29=#REF!</formula>
    </cfRule>
  </conditionalFormatting>
  <conditionalFormatting sqref="C43">
    <cfRule type="expression" dxfId="104" priority="153">
      <formula>$C$43=$R$49</formula>
    </cfRule>
  </conditionalFormatting>
  <conditionalFormatting sqref="C10">
    <cfRule type="expression" dxfId="103" priority="154">
      <formula>OR($C$9=$R$12,$C$9=$R$13)</formula>
    </cfRule>
  </conditionalFormatting>
  <conditionalFormatting sqref="C11">
    <cfRule type="expression" dxfId="102" priority="155">
      <formula>OR($C$9=$R$8,$C$9=$R$9,$C$9=$R$10,$C$9=$R$11)</formula>
    </cfRule>
    <cfRule type="cellIs" dxfId="101" priority="156" operator="greaterThan">
      <formula>0</formula>
    </cfRule>
  </conditionalFormatting>
  <conditionalFormatting sqref="D19">
    <cfRule type="expression" dxfId="100" priority="157">
      <formula>$C$19=$R$26</formula>
    </cfRule>
    <cfRule type="expression" dxfId="99" priority="158">
      <formula>$D$19="невозможно установить"</formula>
    </cfRule>
  </conditionalFormatting>
  <conditionalFormatting sqref="D20">
    <cfRule type="expression" dxfId="98" priority="159">
      <formula>$C$20=$R$26</formula>
    </cfRule>
  </conditionalFormatting>
  <conditionalFormatting sqref="D17:H17">
    <cfRule type="expression" dxfId="97" priority="160">
      <formula>$C$17="нет"</formula>
    </cfRule>
    <cfRule type="expression" dxfId="96" priority="161">
      <formula>$D$17=$R$71</formula>
    </cfRule>
  </conditionalFormatting>
  <conditionalFormatting sqref="D6">
    <cfRule type="expression" dxfId="95" priority="162">
      <formula>$D$6=$R$18</formula>
    </cfRule>
  </conditionalFormatting>
  <conditionalFormatting sqref="D5:H5">
    <cfRule type="expression" dxfId="94" priority="163">
      <formula>$D$5=$R$15</formula>
    </cfRule>
  </conditionalFormatting>
  <dataValidations count="9">
    <dataValidation type="list" allowBlank="1" showInputMessage="1" showErrorMessage="1" sqref="C13:C14 C19:C20 C16:C17">
      <formula1>$R$25:$R$26</formula1>
    </dataValidation>
    <dataValidation type="list" allowBlank="1" showInputMessage="1" showErrorMessage="1" sqref="C12">
      <formula1>$R$21:$R$22</formula1>
    </dataValidation>
    <dataValidation type="list" allowBlank="1" showInputMessage="1" showErrorMessage="1" sqref="C11">
      <formula1>$R$63:$R$66</formula1>
    </dataValidation>
    <dataValidation type="list" allowBlank="1" showInputMessage="1" showErrorMessage="1" sqref="C22 C33:C37">
      <formula1>$R$29:$R$31</formula1>
    </dataValidation>
    <dataValidation type="list" allowBlank="1" showInputMessage="1" showErrorMessage="1" sqref="C9">
      <formula1>$R$8:$R$13</formula1>
    </dataValidation>
    <dataValidation type="list" allowBlank="1" showInputMessage="1" showErrorMessage="1" sqref="C15">
      <formula1>$R$38:$R$41</formula1>
    </dataValidation>
    <dataValidation type="list" allowBlank="1" showInputMessage="1" showErrorMessage="1" sqref="C8">
      <formula1>$R$53:$R$57</formula1>
    </dataValidation>
    <dataValidation type="list" allowBlank="1" showInputMessage="1" showErrorMessage="1" sqref="C7">
      <formula1>$R$61:$R$65</formula1>
    </dataValidation>
    <dataValidation type="whole" allowBlank="1" showInputMessage="1" showErrorMessage="1" sqref="C18">
      <formula1>0</formula1>
      <formula2>20</formula2>
    </dataValidation>
  </dataValidations>
  <hyperlinks>
    <hyperlink ref="O1" location="ОГЛАВЛЕНИЕ!A1" display="оглавление"/>
  </hyperlink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83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" id="{7A2A9378-D27D-4D00-AE9B-EAD8E7731CC9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D39:G39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1"/>
    <pageSetUpPr fitToPage="1"/>
  </sheetPr>
  <dimension ref="B1:T73"/>
  <sheetViews>
    <sheetView zoomScale="70" zoomScaleNormal="70" zoomScalePageLayoutView="110" workbookViewId="0">
      <selection activeCell="C5" sqref="C5"/>
    </sheetView>
  </sheetViews>
  <sheetFormatPr defaultColWidth="8.85546875" defaultRowHeight="15" x14ac:dyDescent="0.25"/>
  <cols>
    <col min="1" max="1" width="1" style="12" customWidth="1"/>
    <col min="2" max="2" width="43.5703125" style="12" customWidth="1"/>
    <col min="3" max="3" width="32" style="12" customWidth="1"/>
    <col min="4" max="8" width="14.7109375" style="12" customWidth="1"/>
    <col min="9" max="9" width="1.85546875" style="12" customWidth="1"/>
    <col min="10" max="10" width="27" style="12" customWidth="1"/>
    <col min="11" max="11" width="12.7109375" style="12" customWidth="1"/>
    <col min="12" max="12" width="12.85546875" style="12" customWidth="1"/>
    <col min="13" max="13" width="15.7109375" style="12" customWidth="1"/>
    <col min="14" max="14" width="13.7109375" style="12" customWidth="1"/>
    <col min="15" max="15" width="16.28515625" style="12" customWidth="1"/>
    <col min="16" max="16" width="10.140625" style="12" customWidth="1"/>
    <col min="17" max="17" width="29.42578125" style="12" hidden="1" customWidth="1"/>
    <col min="18" max="18" width="8.85546875" style="12" hidden="1" customWidth="1"/>
    <col min="19" max="19" width="10.85546875" style="12" hidden="1" customWidth="1"/>
    <col min="20" max="20" width="8.85546875" style="12" hidden="1" customWidth="1"/>
    <col min="21" max="21" width="0" style="12" hidden="1" customWidth="1"/>
    <col min="22" max="16384" width="8.85546875" style="12"/>
  </cols>
  <sheetData>
    <row r="1" spans="2:20" ht="19.5" thickBot="1" x14ac:dyDescent="0.3">
      <c r="B1" s="282" t="s">
        <v>117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3"/>
      <c r="O1" s="228" t="s">
        <v>86</v>
      </c>
    </row>
    <row r="2" spans="2:20" s="13" customFormat="1" x14ac:dyDescent="0.25">
      <c r="B2" s="279" t="s">
        <v>119</v>
      </c>
      <c r="C2" s="284"/>
      <c r="D2" s="284"/>
      <c r="E2" s="284"/>
      <c r="F2" s="284"/>
      <c r="G2" s="284"/>
      <c r="H2" s="285"/>
      <c r="J2" s="279" t="s">
        <v>120</v>
      </c>
      <c r="K2" s="280"/>
      <c r="L2" s="280"/>
      <c r="M2" s="280"/>
      <c r="N2" s="280"/>
      <c r="O2" s="281"/>
      <c r="P2" s="79"/>
      <c r="Q2" s="79"/>
      <c r="R2" s="79"/>
    </row>
    <row r="3" spans="2:20" s="16" customFormat="1" ht="15.75" x14ac:dyDescent="0.25">
      <c r="B3" s="251" t="s">
        <v>23</v>
      </c>
      <c r="C3" s="252"/>
      <c r="D3" s="14"/>
      <c r="E3" s="14"/>
      <c r="F3" s="14"/>
      <c r="G3" s="14"/>
      <c r="H3" s="15"/>
      <c r="J3" s="251" t="s">
        <v>202</v>
      </c>
      <c r="K3" s="252"/>
      <c r="L3" s="14"/>
      <c r="M3" s="14"/>
      <c r="N3" s="14"/>
      <c r="O3" s="15"/>
    </row>
    <row r="4" spans="2:20" ht="15.75" x14ac:dyDescent="0.25">
      <c r="B4" s="17" t="s">
        <v>10</v>
      </c>
      <c r="C4" s="71" t="s">
        <v>24</v>
      </c>
      <c r="D4" s="295" t="s">
        <v>27</v>
      </c>
      <c r="E4" s="296"/>
      <c r="F4" s="296"/>
      <c r="G4" s="296"/>
      <c r="H4" s="297"/>
      <c r="J4" s="52" t="s">
        <v>0</v>
      </c>
      <c r="K4" s="80" t="s">
        <v>24</v>
      </c>
      <c r="L4" s="18"/>
      <c r="M4" s="18"/>
      <c r="N4" s="18"/>
      <c r="O4" s="25"/>
    </row>
    <row r="5" spans="2:20" ht="18.75" x14ac:dyDescent="0.25">
      <c r="B5" s="46" t="s">
        <v>136</v>
      </c>
      <c r="C5" s="23">
        <v>0</v>
      </c>
      <c r="D5" s="274" t="str">
        <f>IF(OR(K5&gt;600,K5&lt;300),Q63,Q64)</f>
        <v>не рекомендуем, ширина створки двери от 300 мм до 600 мм</v>
      </c>
      <c r="E5" s="275"/>
      <c r="F5" s="275"/>
      <c r="G5" s="275"/>
      <c r="H5" s="276"/>
      <c r="J5" s="53" t="s">
        <v>35</v>
      </c>
      <c r="K5" s="59">
        <f>ROUNDDOWN(IF(C10=Q10,(C5-10-10-2)/2,
IF(AND(C10=Q11,OR(C13=Q52,C13=Q53)),(C5-10-10-2-2-4)/4,
IF(AND(C10=Q11,OR(C13=Q54,C13=Q55)),(C5-10-10-2-2-10)/4,0))),0)</f>
        <v>-11</v>
      </c>
      <c r="L5" s="19"/>
      <c r="M5" s="19"/>
      <c r="N5" s="19"/>
      <c r="O5" s="27"/>
    </row>
    <row r="6" spans="2:20" ht="18.75" x14ac:dyDescent="0.25">
      <c r="B6" s="46" t="s">
        <v>137</v>
      </c>
      <c r="C6" s="23">
        <v>0</v>
      </c>
      <c r="D6" s="274" t="str">
        <f>IF(K6&gt;3200,Q58,Q59)</f>
        <v>допустимо</v>
      </c>
      <c r="E6" s="275"/>
      <c r="F6" s="275"/>
      <c r="G6" s="275"/>
      <c r="H6" s="276"/>
      <c r="J6" s="53" t="s">
        <v>34</v>
      </c>
      <c r="K6" s="59">
        <f>IF(C9=Q7,C6-75,C6-55)</f>
        <v>-75</v>
      </c>
      <c r="L6" s="18"/>
      <c r="M6" s="18"/>
      <c r="N6" s="18"/>
      <c r="O6" s="25"/>
      <c r="Q6" s="12" t="s">
        <v>101</v>
      </c>
    </row>
    <row r="7" spans="2:20" ht="18.75" x14ac:dyDescent="0.25">
      <c r="B7" s="46" t="s">
        <v>138</v>
      </c>
      <c r="C7" s="24">
        <v>0</v>
      </c>
      <c r="D7" s="257" t="s">
        <v>22</v>
      </c>
      <c r="E7" s="262"/>
      <c r="F7" s="262"/>
      <c r="G7" s="262"/>
      <c r="H7" s="258"/>
      <c r="J7" s="26"/>
      <c r="K7" s="19"/>
      <c r="L7" s="19"/>
      <c r="M7" s="19"/>
      <c r="N7" s="19"/>
      <c r="O7" s="27"/>
      <c r="Q7" s="12" t="s">
        <v>154</v>
      </c>
    </row>
    <row r="8" spans="2:20" ht="18.75" x14ac:dyDescent="0.25">
      <c r="B8" s="46" t="s">
        <v>139</v>
      </c>
      <c r="C8" s="11" t="s">
        <v>46</v>
      </c>
      <c r="D8" s="254"/>
      <c r="E8" s="277"/>
      <c r="F8" s="277"/>
      <c r="G8" s="277"/>
      <c r="H8" s="278"/>
      <c r="J8" s="251" t="s">
        <v>94</v>
      </c>
      <c r="K8" s="252"/>
      <c r="L8" s="252"/>
      <c r="M8" s="252"/>
      <c r="N8" s="74"/>
      <c r="O8" s="82"/>
      <c r="S8" s="22"/>
    </row>
    <row r="9" spans="2:20" ht="35.1" customHeight="1" x14ac:dyDescent="0.25">
      <c r="B9" s="47" t="s">
        <v>140</v>
      </c>
      <c r="C9" s="31" t="s">
        <v>154</v>
      </c>
      <c r="D9" s="240"/>
      <c r="E9" s="254"/>
      <c r="F9" s="254"/>
      <c r="G9" s="254"/>
      <c r="H9" s="241"/>
      <c r="J9" s="52" t="s">
        <v>0</v>
      </c>
      <c r="K9" s="80" t="s">
        <v>1</v>
      </c>
      <c r="L9" s="80" t="s">
        <v>16</v>
      </c>
      <c r="M9" s="80" t="s">
        <v>18</v>
      </c>
      <c r="N9" s="86" t="s">
        <v>118</v>
      </c>
      <c r="O9" s="87" t="s">
        <v>45</v>
      </c>
    </row>
    <row r="10" spans="2:20" ht="18.75" x14ac:dyDescent="0.3">
      <c r="B10" s="85" t="s">
        <v>141</v>
      </c>
      <c r="C10" s="24">
        <v>1</v>
      </c>
      <c r="D10" s="287" t="s">
        <v>42</v>
      </c>
      <c r="E10" s="288"/>
      <c r="F10" s="288"/>
      <c r="G10" s="288"/>
      <c r="H10" s="289"/>
      <c r="J10" s="54" t="s">
        <v>2</v>
      </c>
      <c r="K10" s="56" t="s">
        <v>3</v>
      </c>
      <c r="L10" s="57">
        <f>K6</f>
        <v>-75</v>
      </c>
      <c r="M10" s="58">
        <f>IF(AND(C6&gt;0,C10=Q10),4,IF(AND(C6&gt;0,C10=Q11),8,0))</f>
        <v>0</v>
      </c>
      <c r="N10" s="55"/>
      <c r="O10" s="209">
        <f>IF(L10&gt;2650,M10,M10/2)</f>
        <v>0</v>
      </c>
      <c r="Q10" s="81">
        <v>1</v>
      </c>
      <c r="S10" s="224">
        <v>0.69</v>
      </c>
      <c r="T10" s="156">
        <f>L10*M10*S10/1000</f>
        <v>0</v>
      </c>
    </row>
    <row r="11" spans="2:20" ht="18.75" x14ac:dyDescent="0.25">
      <c r="B11" s="48" t="s">
        <v>196</v>
      </c>
      <c r="C11" s="49" t="s">
        <v>97</v>
      </c>
      <c r="D11" s="290" t="s">
        <v>197</v>
      </c>
      <c r="E11" s="291"/>
      <c r="F11" s="291"/>
      <c r="G11" s="291"/>
      <c r="H11" s="292"/>
      <c r="J11" s="54" t="s">
        <v>11</v>
      </c>
      <c r="K11" s="56" t="s">
        <v>12</v>
      </c>
      <c r="L11" s="57">
        <f>C5-2</f>
        <v>-2</v>
      </c>
      <c r="M11" s="58">
        <f>IF(C5=0,0,1)</f>
        <v>0</v>
      </c>
      <c r="N11" s="43">
        <f>L11*M11</f>
        <v>0</v>
      </c>
      <c r="O11" s="209">
        <f>CEILING((L11*M11)/5000,1)</f>
        <v>0</v>
      </c>
      <c r="Q11" s="81">
        <v>2</v>
      </c>
      <c r="S11" s="225">
        <v>0.80100000000000005</v>
      </c>
      <c r="T11" s="156">
        <f t="shared" ref="T11:T17" si="0">L11*M11*S11/1000</f>
        <v>0</v>
      </c>
    </row>
    <row r="12" spans="2:20" ht="39.950000000000003" customHeight="1" x14ac:dyDescent="0.25">
      <c r="B12" s="97" t="s">
        <v>199</v>
      </c>
      <c r="C12" s="30" t="s">
        <v>83</v>
      </c>
      <c r="D12" s="272" t="s">
        <v>200</v>
      </c>
      <c r="E12" s="257"/>
      <c r="F12" s="257"/>
      <c r="G12" s="257"/>
      <c r="H12" s="258"/>
      <c r="J12" s="54" t="s">
        <v>11</v>
      </c>
      <c r="K12" s="56" t="s">
        <v>36</v>
      </c>
      <c r="L12" s="57">
        <f>IF(C9=Q6,L11,0)</f>
        <v>0</v>
      </c>
      <c r="M12" s="58">
        <f>IF(C9=Q6,1,0)</f>
        <v>0</v>
      </c>
      <c r="N12" s="43">
        <f t="shared" ref="N12:N17" si="1">L12*M12</f>
        <v>0</v>
      </c>
      <c r="O12" s="209">
        <f>CEILING((L12*M12)/5400,1)</f>
        <v>0</v>
      </c>
      <c r="S12" s="226">
        <v>0.51400000000000001</v>
      </c>
      <c r="T12" s="156">
        <f t="shared" si="0"/>
        <v>0</v>
      </c>
    </row>
    <row r="13" spans="2:20" ht="39.950000000000003" customHeight="1" x14ac:dyDescent="0.25">
      <c r="B13" s="97" t="s">
        <v>198</v>
      </c>
      <c r="C13" s="30" t="s">
        <v>83</v>
      </c>
      <c r="D13" s="272" t="s">
        <v>201</v>
      </c>
      <c r="E13" s="257"/>
      <c r="F13" s="257"/>
      <c r="G13" s="257"/>
      <c r="H13" s="258"/>
      <c r="J13" s="54" t="s">
        <v>13</v>
      </c>
      <c r="K13" s="56" t="s">
        <v>211</v>
      </c>
      <c r="L13" s="57">
        <f>IF(C9=Q7,L11,0)</f>
        <v>-2</v>
      </c>
      <c r="M13" s="58">
        <f>IF(C9=Q7,1,0)</f>
        <v>1</v>
      </c>
      <c r="N13" s="43">
        <f t="shared" si="1"/>
        <v>-2</v>
      </c>
      <c r="O13" s="209">
        <f>CEILING((L13*M13)/5000,1)</f>
        <v>0</v>
      </c>
      <c r="S13" s="225">
        <v>0.25600000000000001</v>
      </c>
      <c r="T13" s="156">
        <f t="shared" si="0"/>
        <v>-5.1199999999999998E-4</v>
      </c>
    </row>
    <row r="14" spans="2:20" ht="35.1" customHeight="1" thickBot="1" x14ac:dyDescent="0.3">
      <c r="B14" s="148" t="s">
        <v>194</v>
      </c>
      <c r="C14" s="45">
        <v>500</v>
      </c>
      <c r="D14" s="293" t="s">
        <v>195</v>
      </c>
      <c r="E14" s="293"/>
      <c r="F14" s="293"/>
      <c r="G14" s="293"/>
      <c r="H14" s="294"/>
      <c r="J14" s="54" t="s">
        <v>4</v>
      </c>
      <c r="K14" s="56" t="s">
        <v>5</v>
      </c>
      <c r="L14" s="57">
        <f>K5-78</f>
        <v>-89</v>
      </c>
      <c r="M14" s="58">
        <f>IF(C5=0,0,C10*2)</f>
        <v>0</v>
      </c>
      <c r="N14" s="43">
        <f t="shared" si="1"/>
        <v>0</v>
      </c>
      <c r="O14" s="209">
        <f>CEILING((L14*M14)/5000,1)</f>
        <v>0</v>
      </c>
      <c r="Q14" s="20" t="s">
        <v>19</v>
      </c>
      <c r="S14" s="225">
        <v>0.47399999999999998</v>
      </c>
      <c r="T14" s="156">
        <f t="shared" si="0"/>
        <v>0</v>
      </c>
    </row>
    <row r="15" spans="2:20" ht="18.75" x14ac:dyDescent="0.25">
      <c r="J15" s="54" t="s">
        <v>6</v>
      </c>
      <c r="K15" s="56" t="s">
        <v>7</v>
      </c>
      <c r="L15" s="57">
        <f>K5-78</f>
        <v>-89</v>
      </c>
      <c r="M15" s="58">
        <f>IF(C5=0,0,C10*2)</f>
        <v>0</v>
      </c>
      <c r="N15" s="43">
        <f t="shared" si="1"/>
        <v>0</v>
      </c>
      <c r="O15" s="209">
        <f>CEILING((L15*M15)/5000,1)</f>
        <v>0</v>
      </c>
      <c r="Q15" s="20" t="s">
        <v>20</v>
      </c>
      <c r="S15" s="225">
        <v>0.379</v>
      </c>
      <c r="T15" s="156">
        <f t="shared" si="0"/>
        <v>0</v>
      </c>
    </row>
    <row r="16" spans="2:20" ht="15.75" x14ac:dyDescent="0.25">
      <c r="B16" s="70" t="s">
        <v>41</v>
      </c>
      <c r="C16" s="70"/>
      <c r="D16" s="70"/>
      <c r="E16" s="70"/>
      <c r="F16" s="70"/>
      <c r="G16" s="70"/>
      <c r="H16" s="70"/>
      <c r="J16" s="54" t="s">
        <v>8</v>
      </c>
      <c r="K16" s="56" t="s">
        <v>9</v>
      </c>
      <c r="L16" s="57">
        <f>IF(C7&gt;0,K5-78,0)</f>
        <v>0</v>
      </c>
      <c r="M16" s="58">
        <f>C7*2*C10</f>
        <v>0</v>
      </c>
      <c r="N16" s="43">
        <f t="shared" si="1"/>
        <v>0</v>
      </c>
      <c r="O16" s="209">
        <f>IF(L16="нет",0,CEILING((L16*M16)/5000,1))</f>
        <v>0</v>
      </c>
      <c r="Q16" s="20" t="s">
        <v>21</v>
      </c>
      <c r="S16" s="12">
        <v>0.58499999999999996</v>
      </c>
      <c r="T16" s="156">
        <f t="shared" si="0"/>
        <v>0</v>
      </c>
    </row>
    <row r="17" spans="2:20" ht="15.75" x14ac:dyDescent="0.25">
      <c r="B17" s="286" t="s">
        <v>162</v>
      </c>
      <c r="C17" s="286"/>
      <c r="D17" s="286"/>
      <c r="E17" s="286"/>
      <c r="F17" s="286"/>
      <c r="G17" s="286"/>
      <c r="H17" s="286"/>
      <c r="J17" s="54" t="s">
        <v>31</v>
      </c>
      <c r="K17" s="56" t="s">
        <v>32</v>
      </c>
      <c r="L17" s="57">
        <f>C14</f>
        <v>500</v>
      </c>
      <c r="M17" s="58">
        <f>C10</f>
        <v>1</v>
      </c>
      <c r="N17" s="43">
        <f t="shared" si="1"/>
        <v>500</v>
      </c>
      <c r="O17" s="210">
        <f>CEILING((L17*M17)/5400,1)</f>
        <v>1</v>
      </c>
      <c r="S17" s="12">
        <v>0.16900000000000001</v>
      </c>
      <c r="T17" s="156">
        <f t="shared" si="0"/>
        <v>8.4500000000000006E-2</v>
      </c>
    </row>
    <row r="18" spans="2:20" ht="15.75" x14ac:dyDescent="0.25">
      <c r="B18" s="286"/>
      <c r="C18" s="286"/>
      <c r="D18" s="286"/>
      <c r="E18" s="286"/>
      <c r="F18" s="286"/>
      <c r="G18" s="286"/>
      <c r="H18" s="286"/>
      <c r="J18" s="207"/>
      <c r="K18" s="204"/>
      <c r="L18" s="204"/>
      <c r="M18" s="204"/>
      <c r="N18" s="204"/>
      <c r="O18" s="208"/>
      <c r="T18" s="12">
        <f>SUM(T10:T17)/C10</f>
        <v>8.3988000000000007E-2</v>
      </c>
    </row>
    <row r="19" spans="2:20" ht="15" customHeight="1" x14ac:dyDescent="0.25">
      <c r="B19" s="286"/>
      <c r="C19" s="286"/>
      <c r="D19" s="286"/>
      <c r="E19" s="286"/>
      <c r="F19" s="286"/>
      <c r="G19" s="286"/>
      <c r="H19" s="286"/>
      <c r="J19" s="26"/>
      <c r="K19" s="19"/>
      <c r="L19" s="19"/>
      <c r="M19" s="19"/>
      <c r="N19" s="19"/>
      <c r="O19" s="27"/>
      <c r="Q19" s="12" t="s">
        <v>97</v>
      </c>
    </row>
    <row r="20" spans="2:20" ht="14.25" customHeight="1" x14ac:dyDescent="0.25">
      <c r="J20" s="26"/>
      <c r="K20" s="19"/>
      <c r="L20" s="19"/>
      <c r="M20" s="19"/>
      <c r="N20" s="19"/>
      <c r="O20" s="27"/>
      <c r="Q20" s="12" t="s">
        <v>98</v>
      </c>
    </row>
    <row r="21" spans="2:20" ht="17.25" customHeight="1" thickBot="1" x14ac:dyDescent="0.3">
      <c r="B21" s="105" t="s">
        <v>163</v>
      </c>
      <c r="C21" s="106"/>
      <c r="D21" s="106"/>
      <c r="E21" s="106"/>
      <c r="F21" s="106"/>
      <c r="G21" s="106"/>
      <c r="H21" s="106"/>
      <c r="I21" s="91"/>
      <c r="J21" s="251" t="s">
        <v>33</v>
      </c>
      <c r="K21" s="252"/>
      <c r="L21" s="252"/>
      <c r="M21" s="74"/>
      <c r="N21" s="19"/>
      <c r="O21" s="25"/>
    </row>
    <row r="22" spans="2:20" ht="19.5" thickBot="1" x14ac:dyDescent="0.3">
      <c r="B22" s="107"/>
      <c r="C22" s="108"/>
      <c r="D22" s="108"/>
      <c r="E22" s="108"/>
      <c r="F22" s="108"/>
      <c r="G22" s="108"/>
      <c r="H22" s="109"/>
      <c r="I22" s="91"/>
      <c r="J22" s="305" t="s">
        <v>0</v>
      </c>
      <c r="K22" s="269"/>
      <c r="L22" s="269"/>
      <c r="M22" s="80" t="s">
        <v>1</v>
      </c>
      <c r="N22" s="80" t="s">
        <v>17</v>
      </c>
      <c r="O22" s="200"/>
    </row>
    <row r="23" spans="2:20" ht="19.5" thickBot="1" x14ac:dyDescent="0.35">
      <c r="B23" s="110" t="s">
        <v>122</v>
      </c>
      <c r="C23" s="111">
        <f>C7+1</f>
        <v>1</v>
      </c>
      <c r="D23" s="149"/>
      <c r="E23" s="150"/>
      <c r="F23" s="150"/>
      <c r="G23" s="150"/>
      <c r="H23" s="114"/>
      <c r="I23" s="127"/>
      <c r="J23" s="299" t="s">
        <v>71</v>
      </c>
      <c r="K23" s="300"/>
      <c r="L23" s="300"/>
      <c r="M23" s="75" t="s">
        <v>37</v>
      </c>
      <c r="N23" s="61">
        <f>C10</f>
        <v>1</v>
      </c>
      <c r="O23" s="201"/>
    </row>
    <row r="24" spans="2:20" ht="18.75" x14ac:dyDescent="0.25">
      <c r="B24" s="116"/>
      <c r="C24" s="117"/>
      <c r="D24" s="117"/>
      <c r="E24" s="117"/>
      <c r="F24" s="117"/>
      <c r="G24" s="117"/>
      <c r="H24" s="118"/>
      <c r="I24" s="127"/>
      <c r="J24" s="299" t="s">
        <v>64</v>
      </c>
      <c r="K24" s="300"/>
      <c r="L24" s="300"/>
      <c r="M24" s="75" t="s">
        <v>212</v>
      </c>
      <c r="N24" s="61">
        <f>C10</f>
        <v>1</v>
      </c>
      <c r="O24" s="201"/>
      <c r="T24" s="156">
        <f>IF(C27=$Q$14,((E27*F27*G27/$C$10)/1000000)*8,IF(C27=$Q$15,((E27*F27*G27/$C$10)/1000000)*6.5,((E27*F27*G27/$C$10)/1000000)*11))</f>
        <v>0.19861599999999999</v>
      </c>
    </row>
    <row r="25" spans="2:20" ht="18.75" x14ac:dyDescent="0.25">
      <c r="B25" s="116"/>
      <c r="C25" s="117"/>
      <c r="D25" s="117"/>
      <c r="E25" s="117"/>
      <c r="F25" s="117"/>
      <c r="G25" s="117"/>
      <c r="H25" s="118"/>
      <c r="I25" s="127"/>
      <c r="J25" s="299" t="s">
        <v>100</v>
      </c>
      <c r="K25" s="300"/>
      <c r="L25" s="300"/>
      <c r="M25" s="75" t="s">
        <v>66</v>
      </c>
      <c r="N25" s="61">
        <f>IF(AND(C10=Q10,C11=Q20),1,IF(C10=Q11,1,0))</f>
        <v>0</v>
      </c>
      <c r="O25" s="201"/>
      <c r="Q25" s="77" t="s">
        <v>46</v>
      </c>
      <c r="T25" s="156">
        <f t="shared" ref="T25:T28" si="2">IF(C28=$Q$14,((E28*F28*G28/$C$10)/1000000)*8,IF(C28=$Q$15,((E28*F28*G28/$C$10)/1000000)*6.5,((E28*F28*G28/$C$10)/1000000)*11))</f>
        <v>0</v>
      </c>
    </row>
    <row r="26" spans="2:20" ht="18.75" x14ac:dyDescent="0.25">
      <c r="B26" s="119" t="s">
        <v>123</v>
      </c>
      <c r="C26" s="196" t="s">
        <v>124</v>
      </c>
      <c r="D26" s="121" t="s">
        <v>87</v>
      </c>
      <c r="E26" s="196" t="s">
        <v>125</v>
      </c>
      <c r="F26" s="196" t="s">
        <v>126</v>
      </c>
      <c r="G26" s="196" t="s">
        <v>145</v>
      </c>
      <c r="H26" s="122" t="s">
        <v>146</v>
      </c>
      <c r="J26" s="299" t="s">
        <v>99</v>
      </c>
      <c r="K26" s="300"/>
      <c r="L26" s="300"/>
      <c r="M26" s="75" t="s">
        <v>65</v>
      </c>
      <c r="N26" s="61">
        <f>IF(AND(C10=Q10,C11=Q19),1,IF(C10=Q11,1,0))</f>
        <v>1</v>
      </c>
      <c r="O26" s="201"/>
      <c r="Q26" s="77" t="s">
        <v>151</v>
      </c>
      <c r="T26" s="156">
        <f t="shared" si="2"/>
        <v>0</v>
      </c>
    </row>
    <row r="27" spans="2:20" ht="18.75" x14ac:dyDescent="0.25">
      <c r="B27" s="123" t="s">
        <v>127</v>
      </c>
      <c r="C27" s="35" t="s">
        <v>21</v>
      </c>
      <c r="D27" s="146">
        <v>450</v>
      </c>
      <c r="E27" s="36">
        <f>K6-IF(E31=0,0,IF(C31=Q14,E31,IF(C31=Q15,E31+2,E31+3)))-IF(E30=0,0,IF(C30=Q14,E30,IF(C30=Q15,E30+2,E30+3)))-IF(E29=0,0,IF(C29=Q14,E29,IF(C29=Q15,E29+2,E29+3)))-IF(E28=0,0,IF(C28=Q14,E28,IF(C28=Q15,E28+2,E28+3)))-44-IF(C27=Q15,2,IF(C27=Q16,3,0))-C7*8</f>
        <v>-122</v>
      </c>
      <c r="F27" s="124">
        <f>IF(C27=$Q$16,$K$5-63,IF(C27=$Q$15,$K$5-62,$K$5-60))</f>
        <v>-74</v>
      </c>
      <c r="G27" s="125">
        <f>$C$10*2</f>
        <v>2</v>
      </c>
      <c r="H27" s="126">
        <f>E27*F27*D27*G27/1000000</f>
        <v>8.1251999999999995</v>
      </c>
      <c r="I27" s="127">
        <f>IF(E27&lt;&gt;0,1,0)</f>
        <v>1</v>
      </c>
      <c r="J27" s="299" t="s">
        <v>67</v>
      </c>
      <c r="K27" s="300"/>
      <c r="L27" s="300"/>
      <c r="M27" s="75" t="s">
        <v>68</v>
      </c>
      <c r="N27" s="61">
        <f>C10*2</f>
        <v>2</v>
      </c>
      <c r="O27" s="201"/>
      <c r="Q27" s="77" t="s">
        <v>152</v>
      </c>
      <c r="T27" s="156">
        <f t="shared" si="2"/>
        <v>0</v>
      </c>
    </row>
    <row r="28" spans="2:20" ht="19.5" thickBot="1" x14ac:dyDescent="0.3">
      <c r="B28" s="123" t="s">
        <v>128</v>
      </c>
      <c r="C28" s="35" t="s">
        <v>19</v>
      </c>
      <c r="D28" s="146">
        <v>450</v>
      </c>
      <c r="E28" s="37">
        <v>0</v>
      </c>
      <c r="F28" s="124">
        <f>IF(C28=$Q$16,$K$5-63,IF(C28=$Q$15,$K$5-62,$K$5-60))</f>
        <v>-71</v>
      </c>
      <c r="G28" s="125">
        <f>IF(E28&lt;&gt;0,$C$10*2,0)</f>
        <v>0</v>
      </c>
      <c r="H28" s="126">
        <f t="shared" ref="H28:H31" si="3">E28*F28*D28*G28/1000000</f>
        <v>0</v>
      </c>
      <c r="I28" s="127">
        <f>IF(E28&lt;&gt;0,1,0)</f>
        <v>0</v>
      </c>
      <c r="J28" s="299" t="s">
        <v>77</v>
      </c>
      <c r="K28" s="300"/>
      <c r="L28" s="300"/>
      <c r="M28" s="75" t="s">
        <v>78</v>
      </c>
      <c r="N28" s="62">
        <f>C10</f>
        <v>1</v>
      </c>
      <c r="O28" s="212"/>
      <c r="Q28" s="77" t="s">
        <v>47</v>
      </c>
      <c r="T28" s="156">
        <f t="shared" si="2"/>
        <v>0</v>
      </c>
    </row>
    <row r="29" spans="2:20" ht="19.5" thickBot="1" x14ac:dyDescent="0.3">
      <c r="B29" s="123" t="s">
        <v>129</v>
      </c>
      <c r="C29" s="35" t="s">
        <v>19</v>
      </c>
      <c r="D29" s="146">
        <v>450</v>
      </c>
      <c r="E29" s="37">
        <v>0</v>
      </c>
      <c r="F29" s="124">
        <f>IF(C29=$Q$16,$K$5-63,IF(C29=$Q$15,$K$5-62,$K$5-60))</f>
        <v>-71</v>
      </c>
      <c r="G29" s="125">
        <f t="shared" ref="G29:G31" si="4">IF(E29&lt;&gt;0,$C$10*2,0)</f>
        <v>0</v>
      </c>
      <c r="H29" s="126">
        <f t="shared" si="3"/>
        <v>0</v>
      </c>
      <c r="I29" s="127">
        <f>IF(E29&lt;&gt;0,1,0)</f>
        <v>0</v>
      </c>
      <c r="J29" s="299" t="s">
        <v>49</v>
      </c>
      <c r="K29" s="300"/>
      <c r="L29" s="300"/>
      <c r="M29" s="75" t="s">
        <v>50</v>
      </c>
      <c r="N29" s="63">
        <f>IF(C14&lt;500,2*C10,C10*(C14/500+1))</f>
        <v>2</v>
      </c>
      <c r="O29" s="212"/>
      <c r="Q29" s="77" t="s">
        <v>48</v>
      </c>
      <c r="T29" s="230">
        <f>SUM(T24:T28)</f>
        <v>0.19861599999999999</v>
      </c>
    </row>
    <row r="30" spans="2:20" ht="18.75" x14ac:dyDescent="0.25">
      <c r="B30" s="123" t="s">
        <v>130</v>
      </c>
      <c r="C30" s="35" t="s">
        <v>19</v>
      </c>
      <c r="D30" s="146">
        <v>450</v>
      </c>
      <c r="E30" s="37">
        <v>0</v>
      </c>
      <c r="F30" s="124">
        <f>IF(C30=$Q$16,$K$5-63,IF(C30=$Q$15,$K$5-62,$K$5-60))</f>
        <v>-71</v>
      </c>
      <c r="G30" s="125">
        <f t="shared" si="4"/>
        <v>0</v>
      </c>
      <c r="H30" s="126">
        <f t="shared" si="3"/>
        <v>0</v>
      </c>
      <c r="I30" s="127">
        <f>IF(E30&lt;&gt;0,1,0)</f>
        <v>0</v>
      </c>
      <c r="J30" s="299" t="s">
        <v>53</v>
      </c>
      <c r="K30" s="300"/>
      <c r="L30" s="300"/>
      <c r="M30" s="75" t="s">
        <v>96</v>
      </c>
      <c r="N30" s="62">
        <f>C10</f>
        <v>1</v>
      </c>
      <c r="O30" s="212"/>
      <c r="T30" s="156"/>
    </row>
    <row r="31" spans="2:20" ht="19.5" thickBot="1" x14ac:dyDescent="0.3">
      <c r="B31" s="132" t="s">
        <v>131</v>
      </c>
      <c r="C31" s="35" t="s">
        <v>19</v>
      </c>
      <c r="D31" s="146">
        <v>450</v>
      </c>
      <c r="E31" s="37">
        <v>0</v>
      </c>
      <c r="F31" s="124">
        <f>IF(C31=$Q$16,$K$5-63,IF(C31=$Q$15,$K$5-62,$K$5-60))</f>
        <v>-71</v>
      </c>
      <c r="G31" s="125">
        <f t="shared" si="4"/>
        <v>0</v>
      </c>
      <c r="H31" s="126">
        <f t="shared" si="3"/>
        <v>0</v>
      </c>
      <c r="I31" s="127">
        <f>IF(E31&lt;&gt;0,1,0)</f>
        <v>0</v>
      </c>
      <c r="J31" s="299" t="s">
        <v>91</v>
      </c>
      <c r="K31" s="300"/>
      <c r="L31" s="300"/>
      <c r="M31" s="75" t="s">
        <v>165</v>
      </c>
      <c r="N31" s="63">
        <f>(M14+M15+M16)*2-N32</f>
        <v>-2</v>
      </c>
      <c r="O31" s="212"/>
      <c r="T31" s="156"/>
    </row>
    <row r="32" spans="2:20" ht="19.5" thickBot="1" x14ac:dyDescent="0.3">
      <c r="B32" s="116"/>
      <c r="C32" s="151"/>
      <c r="D32" s="117"/>
      <c r="E32" s="267" t="s">
        <v>88</v>
      </c>
      <c r="F32" s="267"/>
      <c r="G32" s="268"/>
      <c r="H32" s="133">
        <f>SUM(H27:H31)</f>
        <v>8.1251999999999995</v>
      </c>
      <c r="I32" s="91"/>
      <c r="J32" s="299" t="s">
        <v>75</v>
      </c>
      <c r="K32" s="300"/>
      <c r="L32" s="300"/>
      <c r="M32" s="75" t="s">
        <v>76</v>
      </c>
      <c r="N32" s="55">
        <f>C10*2</f>
        <v>2</v>
      </c>
      <c r="O32" s="213"/>
      <c r="T32" s="156"/>
    </row>
    <row r="33" spans="2:20" ht="19.5" thickBot="1" x14ac:dyDescent="0.3">
      <c r="B33" s="116"/>
      <c r="C33" s="303" t="str">
        <f>IF((SUM(I27:I31)/C23)&lt;&gt;1,Q42,Q43)</f>
        <v>Верно внесены высоты вставок</v>
      </c>
      <c r="D33" s="303"/>
      <c r="E33" s="197">
        <f>IF(C33=Q43,1,0)</f>
        <v>1</v>
      </c>
      <c r="F33" s="197"/>
      <c r="G33" s="197"/>
      <c r="H33" s="118"/>
      <c r="I33" s="91"/>
      <c r="J33" s="299" t="s">
        <v>92</v>
      </c>
      <c r="K33" s="300"/>
      <c r="L33" s="300"/>
      <c r="M33" s="75" t="s">
        <v>167</v>
      </c>
      <c r="N33" s="130">
        <f>ROUNDUP((IF(C27=Q15,(E27+F27)*2*G27,0)+IF(C28=Q15,(E28+F28)*2*G28,0)+IF(C29=Q15,(E29+F29)*2*G29,0)+IF(C30=Q15,(E30+F30)*2*G30,0)+IF(C31=Q15,(E31+F31)*2*G31,0))/1000,0)</f>
        <v>0</v>
      </c>
      <c r="O33" s="212"/>
      <c r="T33" s="231">
        <f>(T18+T29)*1.05</f>
        <v>0.2967342</v>
      </c>
    </row>
    <row r="34" spans="2:20" ht="18.75" x14ac:dyDescent="0.25">
      <c r="B34" s="116"/>
      <c r="C34" s="117"/>
      <c r="D34" s="117"/>
      <c r="E34" s="117"/>
      <c r="F34" s="117"/>
      <c r="G34" s="117"/>
      <c r="H34" s="118"/>
      <c r="I34" s="91"/>
      <c r="J34" s="299" t="s">
        <v>93</v>
      </c>
      <c r="K34" s="300"/>
      <c r="L34" s="300"/>
      <c r="M34" s="75" t="s">
        <v>168</v>
      </c>
      <c r="N34" s="130">
        <f>ROUNDUP((IF(C27=Q16,(E27+F27)*2*G27,0)+IF(C28=Q16,(E28+F28)*2*G28,0)+IF(C29=Q16,(E29+F29)*2*G29,0)+IF(C30=Q16,(E30+F30)*2*G30,0)+IF(C31=Q16,(E31+F31)*2*G31,0))/1000,0)</f>
        <v>-1</v>
      </c>
      <c r="O34" s="213"/>
      <c r="Q34" s="81">
        <v>0</v>
      </c>
    </row>
    <row r="35" spans="2:20" ht="18.75" x14ac:dyDescent="0.25">
      <c r="B35" s="116"/>
      <c r="C35" s="137"/>
      <c r="D35" s="137"/>
      <c r="E35" s="138"/>
      <c r="F35" s="138"/>
      <c r="G35" s="19"/>
      <c r="H35" s="118"/>
      <c r="I35" s="91"/>
      <c r="J35" s="299" t="s">
        <v>90</v>
      </c>
      <c r="K35" s="300"/>
      <c r="L35" s="300"/>
      <c r="M35" s="75" t="s">
        <v>169</v>
      </c>
      <c r="N35" s="63">
        <f>IF(AND(C10=Q11,C13=Q52),M16/2+4,0)</f>
        <v>0</v>
      </c>
      <c r="O35" s="212"/>
      <c r="Q35" s="81">
        <v>1</v>
      </c>
    </row>
    <row r="36" spans="2:20" ht="18.75" x14ac:dyDescent="0.25">
      <c r="B36" s="116"/>
      <c r="C36" s="117"/>
      <c r="D36" s="117"/>
      <c r="E36" s="117"/>
      <c r="F36" s="117"/>
      <c r="G36" s="19"/>
      <c r="H36" s="118"/>
      <c r="I36" s="91"/>
      <c r="J36" s="299" t="s">
        <v>63</v>
      </c>
      <c r="K36" s="300"/>
      <c r="L36" s="300"/>
      <c r="M36" s="64" t="s">
        <v>183</v>
      </c>
      <c r="N36" s="55">
        <f>IF(K5&gt;0,M14+M15+M16+IF(C13=Q53,(M14+M15+M16)/2),0)</f>
        <v>0</v>
      </c>
      <c r="O36" s="213"/>
      <c r="Q36" s="81">
        <v>2</v>
      </c>
    </row>
    <row r="37" spans="2:20" ht="19.5" thickBot="1" x14ac:dyDescent="0.3">
      <c r="B37" s="116"/>
      <c r="C37" s="304" t="str">
        <f>IF(AND(SUM(I27:I31)/C23=1,E31=0,C23&lt;&gt;1),Q46,Q47)</f>
        <v xml:space="preserve"> </v>
      </c>
      <c r="D37" s="304"/>
      <c r="E37" s="138"/>
      <c r="F37" s="138"/>
      <c r="G37" s="19"/>
      <c r="H37" s="118"/>
      <c r="I37" s="91"/>
      <c r="J37" s="299" t="s">
        <v>83</v>
      </c>
      <c r="K37" s="300"/>
      <c r="L37" s="300"/>
      <c r="M37" s="75" t="s">
        <v>84</v>
      </c>
      <c r="N37" s="136">
        <f>IF(C12=Q55,ROUNDUP(K6*2/1000,0),0)+IF(AND(C10=Q11,C13=Q55),ROUNDUP(K6*2/1000,0),0)</f>
        <v>-1</v>
      </c>
      <c r="O37" s="213"/>
      <c r="Q37" s="81">
        <v>3</v>
      </c>
    </row>
    <row r="38" spans="2:20" ht="19.5" thickBot="1" x14ac:dyDescent="0.3">
      <c r="B38" s="116"/>
      <c r="C38" s="117"/>
      <c r="D38" s="117"/>
      <c r="E38" s="117"/>
      <c r="F38" s="117"/>
      <c r="G38" s="188" t="s">
        <v>210</v>
      </c>
      <c r="H38" s="232">
        <f>ROUNDUP(T33,0)</f>
        <v>1</v>
      </c>
      <c r="I38" s="91"/>
      <c r="J38" s="301" t="s">
        <v>147</v>
      </c>
      <c r="K38" s="302"/>
      <c r="L38" s="302"/>
      <c r="M38" s="78" t="s">
        <v>174</v>
      </c>
      <c r="N38" s="136">
        <f>IF(C12=Q54,ROUNDUP(K6*2/1000,0),0)+IF(AND(C10=Q11,C13=Q54),ROUNDUP(K6*2/1000,0),0)</f>
        <v>0</v>
      </c>
      <c r="O38" s="201"/>
      <c r="Q38" s="81">
        <v>4</v>
      </c>
    </row>
    <row r="39" spans="2:20" ht="18.75" x14ac:dyDescent="0.25">
      <c r="B39" s="116"/>
      <c r="C39" s="117"/>
      <c r="D39" s="117"/>
      <c r="E39" s="117"/>
      <c r="F39" s="117"/>
      <c r="G39" s="19"/>
      <c r="H39" s="118"/>
      <c r="I39" s="91"/>
      <c r="J39" s="301" t="s">
        <v>170</v>
      </c>
      <c r="K39" s="302"/>
      <c r="L39" s="302"/>
      <c r="M39" s="76" t="s">
        <v>171</v>
      </c>
      <c r="N39" s="61">
        <f>IF(C12=Q540,4,0)+IF(C13=Q540,4,0)</f>
        <v>0</v>
      </c>
      <c r="O39" s="201"/>
    </row>
    <row r="40" spans="2:20" ht="18.75" x14ac:dyDescent="0.3">
      <c r="B40" s="139"/>
      <c r="C40" s="140"/>
      <c r="D40" s="197"/>
      <c r="E40" s="197"/>
      <c r="F40" s="197"/>
      <c r="G40" s="197"/>
      <c r="H40" s="118"/>
      <c r="I40" s="91"/>
      <c r="J40" s="299" t="s">
        <v>81</v>
      </c>
      <c r="K40" s="300"/>
      <c r="L40" s="300"/>
      <c r="M40" s="75" t="s">
        <v>82</v>
      </c>
      <c r="N40" s="55">
        <f>C10</f>
        <v>1</v>
      </c>
      <c r="O40" s="213"/>
    </row>
    <row r="41" spans="2:20" x14ac:dyDescent="0.25">
      <c r="B41" s="26"/>
      <c r="C41" s="19"/>
      <c r="D41" s="19"/>
      <c r="E41" s="19"/>
      <c r="F41" s="19"/>
      <c r="G41" s="19"/>
      <c r="H41" s="27"/>
      <c r="I41" s="91"/>
      <c r="J41" s="26"/>
      <c r="K41" s="19"/>
      <c r="L41" s="19"/>
      <c r="M41" s="19"/>
      <c r="N41" s="19"/>
      <c r="O41" s="214"/>
    </row>
    <row r="42" spans="2:20" ht="18.75" x14ac:dyDescent="0.3">
      <c r="B42" s="139"/>
      <c r="C42" s="140"/>
      <c r="D42" s="197"/>
      <c r="E42" s="197"/>
      <c r="F42" s="197"/>
      <c r="G42" s="197"/>
      <c r="H42" s="114"/>
      <c r="I42" s="91"/>
      <c r="J42" s="26"/>
      <c r="K42" s="19"/>
      <c r="L42" s="19"/>
      <c r="M42" s="19"/>
      <c r="N42" s="19"/>
      <c r="O42" s="25"/>
      <c r="Q42" s="131" t="s">
        <v>134</v>
      </c>
    </row>
    <row r="43" spans="2:20" ht="18.75" x14ac:dyDescent="0.3">
      <c r="B43" s="139"/>
      <c r="C43" s="140"/>
      <c r="D43" s="197"/>
      <c r="E43" s="197"/>
      <c r="F43" s="197"/>
      <c r="G43" s="19"/>
      <c r="H43" s="27"/>
      <c r="I43" s="91"/>
      <c r="J43" s="26"/>
      <c r="K43" s="19"/>
      <c r="L43" s="19"/>
      <c r="M43" s="19"/>
      <c r="N43" s="19"/>
      <c r="O43" s="27"/>
      <c r="Q43" s="131" t="s">
        <v>135</v>
      </c>
    </row>
    <row r="44" spans="2:20" ht="18.75" x14ac:dyDescent="0.3">
      <c r="B44" s="139"/>
      <c r="C44" s="140"/>
      <c r="D44" s="197"/>
      <c r="E44" s="197"/>
      <c r="F44" s="197"/>
      <c r="G44" s="197"/>
      <c r="H44" s="114"/>
      <c r="I44" s="91"/>
      <c r="J44" s="26"/>
      <c r="K44" s="19"/>
      <c r="L44" s="19"/>
      <c r="M44" s="19"/>
      <c r="N44" s="19"/>
      <c r="O44" s="27"/>
      <c r="Q44" s="91"/>
    </row>
    <row r="45" spans="2:20" ht="19.5" thickBot="1" x14ac:dyDescent="0.35">
      <c r="B45" s="142"/>
      <c r="C45" s="143"/>
      <c r="D45" s="144"/>
      <c r="E45" s="144"/>
      <c r="F45" s="144"/>
      <c r="G45" s="144"/>
      <c r="H45" s="145"/>
      <c r="I45" s="91"/>
      <c r="J45" s="33"/>
      <c r="K45" s="32"/>
      <c r="L45" s="32"/>
      <c r="M45" s="32"/>
      <c r="N45" s="32"/>
      <c r="O45" s="203"/>
      <c r="Q45" s="91"/>
    </row>
    <row r="46" spans="2:20" ht="18.75" x14ac:dyDescent="0.3">
      <c r="J46" s="19"/>
      <c r="K46" s="19"/>
      <c r="L46" s="19"/>
      <c r="M46" s="19"/>
      <c r="N46" s="19"/>
      <c r="O46" s="19"/>
      <c r="Q46" s="141" t="s">
        <v>144</v>
      </c>
    </row>
    <row r="47" spans="2:20" x14ac:dyDescent="0.25">
      <c r="J47" s="19"/>
      <c r="K47" s="19"/>
      <c r="L47" s="19"/>
      <c r="M47" s="19"/>
      <c r="N47" s="19"/>
      <c r="O47" s="19"/>
      <c r="Q47" s="12" t="s">
        <v>107</v>
      </c>
    </row>
    <row r="48" spans="2:20" x14ac:dyDescent="0.25">
      <c r="J48" s="19"/>
      <c r="K48" s="19"/>
      <c r="L48" s="19"/>
      <c r="M48" s="19"/>
      <c r="N48" s="19"/>
      <c r="O48" s="19"/>
    </row>
    <row r="49" spans="10:17" x14ac:dyDescent="0.25">
      <c r="J49" s="19"/>
      <c r="K49" s="19"/>
      <c r="L49" s="19"/>
      <c r="M49" s="19"/>
      <c r="N49" s="19"/>
      <c r="O49" s="19"/>
    </row>
    <row r="50" spans="10:17" x14ac:dyDescent="0.25">
      <c r="J50" s="18"/>
      <c r="K50" s="152"/>
      <c r="L50" s="51"/>
      <c r="M50" s="51"/>
      <c r="N50" s="153"/>
      <c r="O50" s="128"/>
    </row>
    <row r="51" spans="10:17" x14ac:dyDescent="0.25">
      <c r="J51" s="18"/>
      <c r="K51" s="152"/>
      <c r="L51" s="51"/>
      <c r="M51" s="51"/>
      <c r="N51" s="153"/>
      <c r="O51" s="128"/>
    </row>
    <row r="52" spans="10:17" x14ac:dyDescent="0.25">
      <c r="J52" s="18"/>
      <c r="K52" s="152"/>
      <c r="L52" s="51"/>
      <c r="M52" s="51"/>
      <c r="N52" s="153"/>
      <c r="O52" s="128"/>
      <c r="Q52" s="12" t="s">
        <v>90</v>
      </c>
    </row>
    <row r="53" spans="10:17" x14ac:dyDescent="0.25">
      <c r="J53" s="18"/>
      <c r="K53" s="152"/>
      <c r="L53" s="51"/>
      <c r="M53" s="51"/>
      <c r="N53" s="153"/>
      <c r="O53" s="128"/>
      <c r="Q53" s="135" t="s">
        <v>159</v>
      </c>
    </row>
    <row r="54" spans="10:17" x14ac:dyDescent="0.25">
      <c r="J54" s="18"/>
      <c r="K54" s="152"/>
      <c r="L54" s="51"/>
      <c r="M54" s="51"/>
      <c r="N54" s="153"/>
      <c r="O54" s="128"/>
      <c r="Q54" s="135" t="s">
        <v>147</v>
      </c>
    </row>
    <row r="55" spans="10:17" x14ac:dyDescent="0.25">
      <c r="J55" s="18"/>
      <c r="K55" s="152"/>
      <c r="L55" s="51"/>
      <c r="M55" s="51"/>
      <c r="N55" s="153"/>
      <c r="O55" s="128"/>
      <c r="Q55" s="12" t="s">
        <v>83</v>
      </c>
    </row>
    <row r="56" spans="10:17" x14ac:dyDescent="0.25">
      <c r="J56" s="18"/>
      <c r="K56" s="152"/>
      <c r="L56" s="51"/>
      <c r="M56" s="51"/>
      <c r="N56" s="153"/>
      <c r="O56" s="128"/>
    </row>
    <row r="57" spans="10:17" x14ac:dyDescent="0.25">
      <c r="J57" s="18"/>
      <c r="K57" s="152"/>
      <c r="L57" s="51"/>
      <c r="M57" s="51"/>
      <c r="N57" s="153"/>
      <c r="O57" s="128"/>
    </row>
    <row r="58" spans="10:17" x14ac:dyDescent="0.25">
      <c r="J58" s="18"/>
      <c r="K58" s="152"/>
      <c r="L58" s="51"/>
      <c r="M58" s="51"/>
      <c r="N58" s="153"/>
      <c r="O58" s="128"/>
      <c r="Q58" s="12" t="s">
        <v>207</v>
      </c>
    </row>
    <row r="59" spans="10:17" x14ac:dyDescent="0.25">
      <c r="J59" s="18"/>
      <c r="K59" s="152"/>
      <c r="L59" s="51"/>
      <c r="M59" s="51"/>
      <c r="N59" s="153"/>
      <c r="O59" s="128"/>
      <c r="Q59" s="12" t="s">
        <v>204</v>
      </c>
    </row>
    <row r="60" spans="10:17" x14ac:dyDescent="0.25">
      <c r="J60" s="18"/>
      <c r="K60" s="152"/>
      <c r="L60" s="51"/>
      <c r="M60" s="51"/>
      <c r="N60" s="153"/>
      <c r="O60" s="128"/>
    </row>
    <row r="61" spans="10:17" x14ac:dyDescent="0.25">
      <c r="J61" s="298"/>
      <c r="K61" s="298"/>
      <c r="L61" s="298"/>
      <c r="M61" s="298"/>
      <c r="N61" s="298"/>
      <c r="O61" s="154"/>
    </row>
    <row r="62" spans="10:17" ht="15.75" customHeight="1" x14ac:dyDescent="0.25">
      <c r="J62" s="18"/>
      <c r="K62" s="18"/>
      <c r="L62" s="18"/>
      <c r="M62" s="18"/>
      <c r="N62" s="18"/>
      <c r="O62" s="18"/>
    </row>
    <row r="63" spans="10:17" ht="15.75" customHeight="1" x14ac:dyDescent="0.25">
      <c r="J63" s="19"/>
      <c r="K63" s="19"/>
      <c r="L63" s="19"/>
      <c r="M63" s="19"/>
      <c r="N63" s="19"/>
      <c r="O63" s="19"/>
      <c r="Q63" s="12" t="s">
        <v>208</v>
      </c>
    </row>
    <row r="64" spans="10:17" ht="15.75" customHeight="1" x14ac:dyDescent="0.25">
      <c r="J64" s="19"/>
      <c r="K64" s="19"/>
      <c r="L64" s="19"/>
      <c r="M64" s="19"/>
      <c r="N64" s="19"/>
      <c r="O64" s="19"/>
      <c r="Q64" s="12" t="s">
        <v>204</v>
      </c>
    </row>
    <row r="65" spans="10:18" ht="15.75" customHeight="1" x14ac:dyDescent="0.25">
      <c r="J65" s="19"/>
      <c r="K65" s="19"/>
      <c r="L65" s="19"/>
      <c r="M65" s="19"/>
      <c r="N65" s="19"/>
      <c r="O65" s="19"/>
    </row>
    <row r="66" spans="10:18" x14ac:dyDescent="0.25">
      <c r="J66" s="19"/>
      <c r="K66" s="19"/>
      <c r="L66" s="19"/>
      <c r="M66" s="19"/>
      <c r="N66" s="19"/>
      <c r="O66" s="19"/>
    </row>
    <row r="67" spans="10:18" x14ac:dyDescent="0.25">
      <c r="J67" s="19"/>
      <c r="K67" s="19"/>
      <c r="L67" s="19"/>
      <c r="M67" s="19"/>
      <c r="N67" s="19"/>
      <c r="O67" s="19"/>
    </row>
    <row r="68" spans="10:18" x14ac:dyDescent="0.25">
      <c r="J68" s="19"/>
      <c r="K68" s="19"/>
      <c r="L68" s="19"/>
      <c r="M68" s="19"/>
      <c r="N68" s="19"/>
      <c r="O68" s="19"/>
    </row>
    <row r="69" spans="10:18" x14ac:dyDescent="0.25">
      <c r="J69" s="19"/>
      <c r="K69" s="19"/>
      <c r="L69" s="19"/>
      <c r="M69" s="19"/>
      <c r="N69" s="19"/>
      <c r="O69" s="19"/>
    </row>
    <row r="70" spans="10:18" x14ac:dyDescent="0.25">
      <c r="J70" s="19"/>
      <c r="K70" s="19"/>
      <c r="L70" s="19"/>
      <c r="M70" s="19"/>
      <c r="N70" s="19"/>
      <c r="O70" s="19"/>
      <c r="P70" s="19"/>
      <c r="Q70" s="19"/>
      <c r="R70" s="19"/>
    </row>
    <row r="71" spans="10:18" x14ac:dyDescent="0.25">
      <c r="P71" s="19"/>
      <c r="Q71" s="19"/>
      <c r="R71" s="19"/>
    </row>
    <row r="72" spans="10:18" x14ac:dyDescent="0.25">
      <c r="P72" s="19"/>
      <c r="Q72" s="19"/>
      <c r="R72" s="19"/>
    </row>
    <row r="73" spans="10:18" x14ac:dyDescent="0.25">
      <c r="P73" s="19"/>
      <c r="Q73" s="19"/>
      <c r="R73" s="19"/>
    </row>
  </sheetData>
  <sheetProtection algorithmName="SHA-512" hashValue="OawY9knn/4isIohx2ts8Sb608PzHOlk6OxhM0QEZH8mhV9h61/nLpmrtZu9aBwEtgc6mKP6RHHT9lhL7uemTjA==" saltValue="HM8M9dok6A/aOAYWB4C8Kg==" spinCount="100000" sheet="1" objects="1" scenarios="1" selectLockedCells="1"/>
  <mergeCells count="42">
    <mergeCell ref="E32:G32"/>
    <mergeCell ref="C33:D33"/>
    <mergeCell ref="C37:D37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  <mergeCell ref="J31:L31"/>
    <mergeCell ref="J32:L32"/>
    <mergeCell ref="J35:L35"/>
    <mergeCell ref="J33:L33"/>
    <mergeCell ref="J61:N61"/>
    <mergeCell ref="J21:L21"/>
    <mergeCell ref="J34:L34"/>
    <mergeCell ref="J36:L36"/>
    <mergeCell ref="J40:L40"/>
    <mergeCell ref="J37:L37"/>
    <mergeCell ref="J38:L38"/>
    <mergeCell ref="J39:L39"/>
    <mergeCell ref="D5:H5"/>
    <mergeCell ref="D6:H6"/>
    <mergeCell ref="D7:H7"/>
    <mergeCell ref="J8:M8"/>
    <mergeCell ref="D8:H8"/>
    <mergeCell ref="B2:H2"/>
    <mergeCell ref="B3:C3"/>
    <mergeCell ref="J3:K3"/>
    <mergeCell ref="D4:H4"/>
    <mergeCell ref="B1:N1"/>
    <mergeCell ref="J2:O2"/>
    <mergeCell ref="D12:H12"/>
    <mergeCell ref="D9:H9"/>
    <mergeCell ref="B17:H19"/>
    <mergeCell ref="D10:H10"/>
    <mergeCell ref="D11:H11"/>
    <mergeCell ref="D13:H13"/>
    <mergeCell ref="D14:H14"/>
  </mergeCells>
  <conditionalFormatting sqref="K5:K6 L10:O17 N40:O40 N23:O32 N35:O36 O33:O34 O37">
    <cfRule type="expression" dxfId="93" priority="2">
      <formula>$C$5=0</formula>
    </cfRule>
  </conditionalFormatting>
  <conditionalFormatting sqref="D5:H14">
    <cfRule type="expression" dxfId="92" priority="3">
      <formula>$C5=0</formula>
    </cfRule>
  </conditionalFormatting>
  <conditionalFormatting sqref="C8">
    <cfRule type="cellIs" dxfId="91" priority="58" operator="greaterThan">
      <formula>0</formula>
    </cfRule>
  </conditionalFormatting>
  <conditionalFormatting sqref="O10">
    <cfRule type="expression" dxfId="90" priority="57">
      <formula>$C$5=0</formula>
    </cfRule>
  </conditionalFormatting>
  <conditionalFormatting sqref="O14:O16">
    <cfRule type="expression" dxfId="89" priority="56">
      <formula>$C$5=0</formula>
    </cfRule>
  </conditionalFormatting>
  <conditionalFormatting sqref="O17">
    <cfRule type="expression" dxfId="88" priority="55">
      <formula>$C$5=0</formula>
    </cfRule>
  </conditionalFormatting>
  <conditionalFormatting sqref="O11">
    <cfRule type="expression" dxfId="87" priority="51">
      <formula>$C$5=0</formula>
    </cfRule>
  </conditionalFormatting>
  <conditionalFormatting sqref="O12">
    <cfRule type="expression" dxfId="86" priority="50">
      <formula>$C$5=0</formula>
    </cfRule>
  </conditionalFormatting>
  <conditionalFormatting sqref="O13">
    <cfRule type="expression" dxfId="85" priority="49">
      <formula>$C$5=0</formula>
    </cfRule>
  </conditionalFormatting>
  <conditionalFormatting sqref="O41">
    <cfRule type="expression" dxfId="84" priority="48">
      <formula>$C$5=0</formula>
    </cfRule>
  </conditionalFormatting>
  <conditionalFormatting sqref="C12">
    <cfRule type="cellIs" dxfId="83" priority="29" operator="greaterThan">
      <formula>0</formula>
    </cfRule>
  </conditionalFormatting>
  <conditionalFormatting sqref="D12:H12">
    <cfRule type="expression" dxfId="82" priority="28">
      <formula>$C$6=0</formula>
    </cfRule>
  </conditionalFormatting>
  <conditionalFormatting sqref="C13">
    <cfRule type="cellIs" dxfId="81" priority="27" operator="greaterThan">
      <formula>0</formula>
    </cfRule>
  </conditionalFormatting>
  <conditionalFormatting sqref="D13:H13">
    <cfRule type="expression" dxfId="80" priority="26">
      <formula>$C$6=0</formula>
    </cfRule>
  </conditionalFormatting>
  <conditionalFormatting sqref="C14">
    <cfRule type="cellIs" dxfId="79" priority="25" operator="greaterThan">
      <formula>0</formula>
    </cfRule>
  </conditionalFormatting>
  <conditionalFormatting sqref="D14:H14">
    <cfRule type="expression" dxfId="78" priority="24">
      <formula>$C$5=0</formula>
    </cfRule>
  </conditionalFormatting>
  <conditionalFormatting sqref="O38">
    <cfRule type="expression" dxfId="77" priority="19">
      <formula>$C$5=0</formula>
    </cfRule>
  </conditionalFormatting>
  <conditionalFormatting sqref="N33">
    <cfRule type="expression" dxfId="76" priority="18">
      <formula>$C$5=0</formula>
    </cfRule>
  </conditionalFormatting>
  <conditionalFormatting sqref="N37">
    <cfRule type="expression" dxfId="75" priority="14">
      <formula>$C$5=0</formula>
    </cfRule>
  </conditionalFormatting>
  <conditionalFormatting sqref="N34">
    <cfRule type="expression" dxfId="74" priority="16">
      <formula>$C$5=0</formula>
    </cfRule>
  </conditionalFormatting>
  <conditionalFormatting sqref="N38">
    <cfRule type="expression" dxfId="73" priority="15">
      <formula>$C$5=0</formula>
    </cfRule>
  </conditionalFormatting>
  <conditionalFormatting sqref="K5">
    <cfRule type="expression" dxfId="72" priority="9">
      <formula>AND(OR($K$5&lt;300,$K$5&gt;600),$C$5&gt;0)</formula>
    </cfRule>
  </conditionalFormatting>
  <conditionalFormatting sqref="D10:H11">
    <cfRule type="expression" dxfId="71" priority="8">
      <formula>$C$5=0</formula>
    </cfRule>
  </conditionalFormatting>
  <conditionalFormatting sqref="E27 H32 H38 F27:H31">
    <cfRule type="expression" dxfId="70" priority="7">
      <formula>$C$5=0</formula>
    </cfRule>
  </conditionalFormatting>
  <conditionalFormatting sqref="O39">
    <cfRule type="expression" dxfId="69" priority="6">
      <formula>$C$4=0</formula>
    </cfRule>
  </conditionalFormatting>
  <conditionalFormatting sqref="N39">
    <cfRule type="expression" dxfId="68" priority="5">
      <formula>$C$4=0</formula>
    </cfRule>
  </conditionalFormatting>
  <conditionalFormatting sqref="N39:O39">
    <cfRule type="expression" dxfId="67" priority="4">
      <formula>$C$5=0</formula>
    </cfRule>
  </conditionalFormatting>
  <conditionalFormatting sqref="K6">
    <cfRule type="expression" dxfId="66" priority="75">
      <formula>$K$6&gt;3200</formula>
    </cfRule>
  </conditionalFormatting>
  <conditionalFormatting sqref="D5">
    <cfRule type="expression" dxfId="65" priority="165">
      <formula>$D$5=$Q$63</formula>
    </cfRule>
  </conditionalFormatting>
  <conditionalFormatting sqref="C37">
    <cfRule type="expression" dxfId="64" priority="166">
      <formula>$C$37=$Q$46</formula>
    </cfRule>
  </conditionalFormatting>
  <conditionalFormatting sqref="C33">
    <cfRule type="expression" dxfId="63" priority="167">
      <formula>$C$33=$Q$43</formula>
    </cfRule>
  </conditionalFormatting>
  <conditionalFormatting sqref="C33:D33">
    <cfRule type="expression" dxfId="62" priority="168">
      <formula>$C$33=$Q$42</formula>
    </cfRule>
  </conditionalFormatting>
  <conditionalFormatting sqref="D6:H6">
    <cfRule type="expression" dxfId="61" priority="169">
      <formula>$D$6=$Q$58</formula>
    </cfRule>
  </conditionalFormatting>
  <conditionalFormatting sqref="C9">
    <cfRule type="expression" dxfId="60" priority="1">
      <formula>AND($C$9=$Q$6,$C$8=$Q$26)</formula>
    </cfRule>
  </conditionalFormatting>
  <dataValidations count="9">
    <dataValidation type="list" allowBlank="1" showInputMessage="1" showErrorMessage="1" sqref="C11">
      <formula1>$Q$19:$Q$20</formula1>
    </dataValidation>
    <dataValidation type="list" allowBlank="1" showInputMessage="1" showErrorMessage="1" sqref="C9">
      <formula1>$Q$6:$Q$7</formula1>
    </dataValidation>
    <dataValidation type="list" allowBlank="1" showInputMessage="1" showErrorMessage="1" sqref="C10">
      <formula1>$Q$10:$Q$11</formula1>
    </dataValidation>
    <dataValidation type="list" allowBlank="1" showInputMessage="1" showErrorMessage="1" sqref="C8">
      <formula1>$Q$25:$Q$29</formula1>
    </dataValidation>
    <dataValidation type="list" allowBlank="1" showInputMessage="1" showErrorMessage="1" sqref="C7">
      <formula1>$Q$34:$Q$38</formula1>
    </dataValidation>
    <dataValidation type="list" allowBlank="1" showInputMessage="1" showErrorMessage="1" sqref="C27:C31">
      <formula1>$Q$14:$Q$16</formula1>
    </dataValidation>
    <dataValidation type="list" allowBlank="1" showInputMessage="1" showErrorMessage="1" sqref="C12">
      <formula1>$Q$54:$Q$55</formula1>
    </dataValidation>
    <dataValidation type="list" allowBlank="1" showInputMessage="1" showErrorMessage="1" sqref="C13">
      <formula1>$Q$52:$Q$55</formula1>
    </dataValidation>
    <dataValidation type="whole" allowBlank="1" showInputMessage="1" showErrorMessage="1" sqref="C14">
      <formula1>150</formula1>
      <formula2>K6</formula2>
    </dataValidation>
  </dataValidations>
  <hyperlinks>
    <hyperlink ref="O1" location="ОГЛАВЛЕНИЕ!A1" display="оглавление"/>
  </hyperlink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84" orientation="landscape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1" id="{3DD69E6D-ABFC-429B-A7F7-C20BA496C769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E33:G33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1"/>
    <pageSetUpPr fitToPage="1"/>
  </sheetPr>
  <dimension ref="B1:R76"/>
  <sheetViews>
    <sheetView zoomScale="70" zoomScaleNormal="70" zoomScalePageLayoutView="110" workbookViewId="0">
      <selection activeCell="C5" sqref="C5"/>
    </sheetView>
  </sheetViews>
  <sheetFormatPr defaultColWidth="8.85546875" defaultRowHeight="15" x14ac:dyDescent="0.25"/>
  <cols>
    <col min="1" max="1" width="0.85546875" style="91" customWidth="1"/>
    <col min="2" max="2" width="43.140625" style="91" customWidth="1"/>
    <col min="3" max="3" width="29.7109375" style="91" customWidth="1"/>
    <col min="4" max="8" width="14.7109375" style="91" customWidth="1"/>
    <col min="9" max="9" width="2" style="91" customWidth="1"/>
    <col min="10" max="10" width="25.28515625" style="91" customWidth="1"/>
    <col min="11" max="11" width="13.5703125" style="91" customWidth="1"/>
    <col min="12" max="12" width="12.5703125" style="91" customWidth="1"/>
    <col min="13" max="13" width="14.7109375" style="91" customWidth="1"/>
    <col min="14" max="14" width="14" style="91" customWidth="1"/>
    <col min="15" max="15" width="17.85546875" style="91" customWidth="1"/>
    <col min="16" max="16" width="14.7109375" style="91" hidden="1" customWidth="1"/>
    <col min="17" max="17" width="0" style="91" hidden="1" customWidth="1"/>
    <col min="18" max="18" width="19.42578125" style="91" hidden="1" customWidth="1"/>
    <col min="19" max="16384" width="8.85546875" style="91"/>
  </cols>
  <sheetData>
    <row r="1" spans="2:18" ht="19.5" thickBot="1" x14ac:dyDescent="0.3">
      <c r="B1" s="315" t="s">
        <v>115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6"/>
      <c r="O1" s="229" t="s">
        <v>86</v>
      </c>
      <c r="P1" s="155"/>
    </row>
    <row r="2" spans="2:18" s="13" customFormat="1" x14ac:dyDescent="0.25">
      <c r="B2" s="279" t="s">
        <v>119</v>
      </c>
      <c r="C2" s="284"/>
      <c r="D2" s="284"/>
      <c r="E2" s="284"/>
      <c r="F2" s="284"/>
      <c r="G2" s="284"/>
      <c r="H2" s="285"/>
      <c r="J2" s="279" t="s">
        <v>120</v>
      </c>
      <c r="K2" s="280"/>
      <c r="L2" s="280"/>
      <c r="M2" s="280"/>
      <c r="N2" s="280"/>
      <c r="O2" s="281"/>
      <c r="P2" s="79"/>
    </row>
    <row r="3" spans="2:18" s="156" customFormat="1" ht="15.75" x14ac:dyDescent="0.25">
      <c r="B3" s="251" t="s">
        <v>23</v>
      </c>
      <c r="C3" s="252"/>
      <c r="D3" s="14"/>
      <c r="E3" s="14"/>
      <c r="F3" s="14"/>
      <c r="G3" s="14"/>
      <c r="H3" s="15"/>
      <c r="J3" s="251" t="s">
        <v>113</v>
      </c>
      <c r="K3" s="252"/>
      <c r="L3" s="14"/>
      <c r="M3" s="14"/>
      <c r="N3" s="14"/>
      <c r="O3" s="15"/>
      <c r="P3" s="14"/>
    </row>
    <row r="4" spans="2:18" ht="15.75" x14ac:dyDescent="0.25">
      <c r="B4" s="52" t="s">
        <v>10</v>
      </c>
      <c r="C4" s="60" t="s">
        <v>24</v>
      </c>
      <c r="D4" s="269" t="s">
        <v>27</v>
      </c>
      <c r="E4" s="270"/>
      <c r="F4" s="270"/>
      <c r="G4" s="270"/>
      <c r="H4" s="271"/>
      <c r="J4" s="52" t="s">
        <v>0</v>
      </c>
      <c r="K4" s="80" t="s">
        <v>24</v>
      </c>
      <c r="L4" s="18"/>
      <c r="M4" s="18"/>
      <c r="N4" s="18"/>
      <c r="O4" s="25"/>
      <c r="P4" s="18"/>
      <c r="R4" s="157"/>
    </row>
    <row r="5" spans="2:18" ht="20.100000000000001" customHeight="1" x14ac:dyDescent="0.25">
      <c r="B5" s="46" t="s">
        <v>136</v>
      </c>
      <c r="C5" s="23">
        <v>0</v>
      </c>
      <c r="D5" s="317" t="str">
        <f>IF(OR(K5&lt;200,K5&gt;700),R58,R59)</f>
        <v>не рекомендуем, ширина двери должна быть от 200 мм до 700 мм</v>
      </c>
      <c r="E5" s="318"/>
      <c r="F5" s="318"/>
      <c r="G5" s="318"/>
      <c r="H5" s="319"/>
      <c r="J5" s="158" t="s">
        <v>30</v>
      </c>
      <c r="K5" s="159">
        <f>ROUNDDOWN(IF(OR(C11=R39,C11=R40),(C5-4*C9)/C9,IF(OR(C11=R41,C11=R42),(C5-10*C9)/C9)),0)</f>
        <v>-4</v>
      </c>
      <c r="L5" s="18"/>
      <c r="M5" s="160"/>
      <c r="N5" s="160"/>
      <c r="O5" s="215"/>
      <c r="P5" s="18"/>
      <c r="R5" s="157">
        <v>1</v>
      </c>
    </row>
    <row r="6" spans="2:18" ht="20.100000000000001" customHeight="1" x14ac:dyDescent="0.25">
      <c r="B6" s="46" t="s">
        <v>137</v>
      </c>
      <c r="C6" s="23">
        <v>0</v>
      </c>
      <c r="D6" s="317" t="str">
        <f>IF(K6&gt;3200,R62,R63)</f>
        <v>допустимо</v>
      </c>
      <c r="E6" s="318"/>
      <c r="F6" s="318"/>
      <c r="G6" s="318"/>
      <c r="H6" s="319"/>
      <c r="J6" s="158" t="s">
        <v>29</v>
      </c>
      <c r="K6" s="159">
        <f>C6-20</f>
        <v>-20</v>
      </c>
      <c r="L6" s="18"/>
      <c r="M6" s="18"/>
      <c r="N6" s="51"/>
      <c r="O6" s="25"/>
      <c r="P6" s="18"/>
      <c r="R6" s="157">
        <v>2</v>
      </c>
    </row>
    <row r="7" spans="2:18" ht="20.100000000000001" customHeight="1" x14ac:dyDescent="0.25">
      <c r="B7" s="46" t="s">
        <v>138</v>
      </c>
      <c r="C7" s="24">
        <v>0</v>
      </c>
      <c r="D7" s="287" t="s">
        <v>22</v>
      </c>
      <c r="E7" s="287"/>
      <c r="F7" s="287"/>
      <c r="G7" s="287"/>
      <c r="H7" s="289"/>
      <c r="J7" s="161"/>
      <c r="K7" s="18"/>
      <c r="L7" s="18"/>
      <c r="M7" s="18"/>
      <c r="N7" s="18"/>
      <c r="O7" s="25"/>
      <c r="P7" s="18"/>
    </row>
    <row r="8" spans="2:18" ht="20.100000000000001" customHeight="1" x14ac:dyDescent="0.25">
      <c r="B8" s="46" t="s">
        <v>139</v>
      </c>
      <c r="C8" s="24" t="s">
        <v>46</v>
      </c>
      <c r="D8" s="287"/>
      <c r="E8" s="287"/>
      <c r="F8" s="287"/>
      <c r="G8" s="287"/>
      <c r="H8" s="289"/>
      <c r="J8" s="251" t="s">
        <v>114</v>
      </c>
      <c r="K8" s="252"/>
      <c r="L8" s="252"/>
      <c r="M8" s="252"/>
      <c r="N8" s="74"/>
      <c r="O8" s="82"/>
      <c r="P8" s="14"/>
    </row>
    <row r="9" spans="2:18" ht="35.1" customHeight="1" x14ac:dyDescent="0.25">
      <c r="B9" s="85" t="s">
        <v>141</v>
      </c>
      <c r="C9" s="29">
        <v>1</v>
      </c>
      <c r="D9" s="287" t="s">
        <v>42</v>
      </c>
      <c r="E9" s="287"/>
      <c r="F9" s="287"/>
      <c r="G9" s="287"/>
      <c r="H9" s="289"/>
      <c r="J9" s="52" t="s">
        <v>0</v>
      </c>
      <c r="K9" s="80" t="s">
        <v>1</v>
      </c>
      <c r="L9" s="80" t="s">
        <v>16</v>
      </c>
      <c r="M9" s="80" t="s">
        <v>18</v>
      </c>
      <c r="N9" s="86" t="s">
        <v>118</v>
      </c>
      <c r="O9" s="87" t="s">
        <v>45</v>
      </c>
      <c r="P9" s="18"/>
      <c r="R9" s="115" t="s">
        <v>19</v>
      </c>
    </row>
    <row r="10" spans="2:18" ht="35.1" customHeight="1" x14ac:dyDescent="0.25">
      <c r="B10" s="85" t="s">
        <v>185</v>
      </c>
      <c r="C10" s="41" t="s">
        <v>77</v>
      </c>
      <c r="D10" s="287" t="s">
        <v>188</v>
      </c>
      <c r="E10" s="287"/>
      <c r="F10" s="287"/>
      <c r="G10" s="287"/>
      <c r="H10" s="289"/>
      <c r="J10" s="167" t="s">
        <v>2</v>
      </c>
      <c r="K10" s="168" t="s">
        <v>3</v>
      </c>
      <c r="L10" s="162">
        <f>K6</f>
        <v>-20</v>
      </c>
      <c r="M10" s="104">
        <f>IF(AND(C6&gt;0,C9=R5),2,IF(AND(C6&gt;0,C9=R6),4,0))</f>
        <v>0</v>
      </c>
      <c r="N10" s="104"/>
      <c r="O10" s="209">
        <f>IF(L10&gt;2650,M10,M10/2)</f>
        <v>0</v>
      </c>
      <c r="P10" s="18">
        <v>0.69</v>
      </c>
      <c r="Q10" s="91">
        <f>L10*M10*P10/1000</f>
        <v>0</v>
      </c>
      <c r="R10" s="115" t="s">
        <v>20</v>
      </c>
    </row>
    <row r="11" spans="2:18" ht="35.1" customHeight="1" x14ac:dyDescent="0.25">
      <c r="B11" s="97" t="s">
        <v>158</v>
      </c>
      <c r="C11" s="31" t="s">
        <v>90</v>
      </c>
      <c r="D11" s="257" t="s">
        <v>193</v>
      </c>
      <c r="E11" s="257"/>
      <c r="F11" s="257"/>
      <c r="G11" s="257"/>
      <c r="H11" s="258"/>
      <c r="J11" s="167" t="s">
        <v>4</v>
      </c>
      <c r="K11" s="168" t="s">
        <v>5</v>
      </c>
      <c r="L11" s="162">
        <f>K5-78</f>
        <v>-82</v>
      </c>
      <c r="M11" s="104">
        <f>IF(C5=0,0,C9)</f>
        <v>0</v>
      </c>
      <c r="N11" s="43">
        <f t="shared" ref="N11:N14" si="0">L11*M11</f>
        <v>0</v>
      </c>
      <c r="O11" s="209">
        <f>CEILING((L11*M11)/5000,1)</f>
        <v>0</v>
      </c>
      <c r="P11" s="18">
        <v>0.47399999999999998</v>
      </c>
      <c r="Q11" s="91">
        <f t="shared" ref="Q11:Q14" si="1">L11*M11*P11/1000</f>
        <v>0</v>
      </c>
      <c r="R11" s="115" t="s">
        <v>21</v>
      </c>
    </row>
    <row r="12" spans="2:18" ht="35.1" customHeight="1" x14ac:dyDescent="0.25">
      <c r="B12" s="98" t="s">
        <v>192</v>
      </c>
      <c r="C12" s="42">
        <v>0</v>
      </c>
      <c r="D12" s="257" t="s">
        <v>180</v>
      </c>
      <c r="E12" s="257"/>
      <c r="F12" s="257"/>
      <c r="G12" s="257"/>
      <c r="H12" s="258"/>
      <c r="J12" s="167" t="s">
        <v>6</v>
      </c>
      <c r="K12" s="168" t="s">
        <v>7</v>
      </c>
      <c r="L12" s="162">
        <f>K5-78</f>
        <v>-82</v>
      </c>
      <c r="M12" s="104">
        <f>IF(C5=0,0,C9)</f>
        <v>0</v>
      </c>
      <c r="N12" s="43">
        <f t="shared" si="0"/>
        <v>0</v>
      </c>
      <c r="O12" s="209">
        <f>CEILING((L12*M12)/5000,1)</f>
        <v>0</v>
      </c>
      <c r="P12" s="18">
        <v>0.379</v>
      </c>
      <c r="Q12" s="91">
        <f t="shared" si="1"/>
        <v>0</v>
      </c>
      <c r="R12" s="18"/>
    </row>
    <row r="13" spans="2:18" ht="35.1" customHeight="1" x14ac:dyDescent="0.25">
      <c r="B13" s="163" t="s">
        <v>194</v>
      </c>
      <c r="C13" s="72">
        <v>540</v>
      </c>
      <c r="D13" s="306" t="s">
        <v>195</v>
      </c>
      <c r="E13" s="306"/>
      <c r="F13" s="306"/>
      <c r="G13" s="306"/>
      <c r="H13" s="307"/>
      <c r="J13" s="167" t="s">
        <v>8</v>
      </c>
      <c r="K13" s="168" t="s">
        <v>9</v>
      </c>
      <c r="L13" s="162">
        <f>IF(C7&gt;0,K5-78,0)</f>
        <v>0</v>
      </c>
      <c r="M13" s="104">
        <f>C7*C9</f>
        <v>0</v>
      </c>
      <c r="N13" s="43">
        <f t="shared" si="0"/>
        <v>0</v>
      </c>
      <c r="O13" s="209">
        <f>CEILING((L13*M13)/5000,1)</f>
        <v>0</v>
      </c>
      <c r="P13" s="18">
        <v>0.58499999999999996</v>
      </c>
      <c r="Q13" s="91">
        <f t="shared" si="1"/>
        <v>0</v>
      </c>
      <c r="R13" s="18"/>
    </row>
    <row r="14" spans="2:18" ht="38.25" thickBot="1" x14ac:dyDescent="0.3">
      <c r="B14" s="164" t="s">
        <v>206</v>
      </c>
      <c r="C14" s="39" t="s">
        <v>112</v>
      </c>
      <c r="D14" s="293"/>
      <c r="E14" s="293"/>
      <c r="F14" s="293"/>
      <c r="G14" s="293"/>
      <c r="H14" s="294"/>
      <c r="J14" s="167" t="s">
        <v>31</v>
      </c>
      <c r="K14" s="168" t="s">
        <v>32</v>
      </c>
      <c r="L14" s="162">
        <f>C13</f>
        <v>540</v>
      </c>
      <c r="M14" s="104">
        <f>C9</f>
        <v>1</v>
      </c>
      <c r="N14" s="43">
        <f t="shared" si="0"/>
        <v>540</v>
      </c>
      <c r="O14" s="210">
        <f>CEILING((L14*M14)/5400,1)</f>
        <v>1</v>
      </c>
      <c r="P14" s="18">
        <v>0.16900000000000001</v>
      </c>
      <c r="Q14" s="91">
        <f t="shared" si="1"/>
        <v>9.1260000000000008E-2</v>
      </c>
    </row>
    <row r="15" spans="2:18" ht="16.5" thickBot="1" x14ac:dyDescent="0.3">
      <c r="J15" s="207"/>
      <c r="K15" s="204"/>
      <c r="L15" s="204"/>
      <c r="M15" s="204"/>
      <c r="N15" s="204"/>
      <c r="O15" s="208"/>
      <c r="P15" s="18"/>
      <c r="Q15" s="233">
        <f>SUM(Q10:Q14)</f>
        <v>9.1260000000000008E-2</v>
      </c>
    </row>
    <row r="16" spans="2:18" ht="15.75" x14ac:dyDescent="0.25">
      <c r="B16" s="252" t="s">
        <v>41</v>
      </c>
      <c r="C16" s="252"/>
      <c r="D16" s="252"/>
      <c r="E16" s="252"/>
      <c r="F16" s="252"/>
      <c r="G16" s="252"/>
      <c r="H16" s="252"/>
      <c r="J16" s="73"/>
      <c r="K16" s="74"/>
      <c r="L16" s="74"/>
      <c r="M16" s="74"/>
      <c r="N16" s="74"/>
      <c r="O16" s="82"/>
      <c r="P16" s="18"/>
      <c r="R16" s="81">
        <v>0</v>
      </c>
    </row>
    <row r="17" spans="2:18" ht="15.75" x14ac:dyDescent="0.25">
      <c r="B17" s="310" t="s">
        <v>162</v>
      </c>
      <c r="C17" s="310"/>
      <c r="D17" s="310"/>
      <c r="E17" s="310"/>
      <c r="F17" s="310"/>
      <c r="G17" s="310"/>
      <c r="H17" s="310"/>
      <c r="J17" s="165"/>
      <c r="K17" s="21"/>
      <c r="L17" s="21"/>
      <c r="M17" s="18"/>
      <c r="N17" s="18"/>
      <c r="O17" s="103"/>
      <c r="P17" s="18"/>
      <c r="R17" s="81">
        <v>1</v>
      </c>
    </row>
    <row r="18" spans="2:18" ht="15.75" x14ac:dyDescent="0.25">
      <c r="B18" s="310"/>
      <c r="C18" s="310"/>
      <c r="D18" s="310"/>
      <c r="E18" s="310"/>
      <c r="F18" s="310"/>
      <c r="G18" s="310"/>
      <c r="H18" s="310"/>
      <c r="J18" s="251" t="s">
        <v>33</v>
      </c>
      <c r="K18" s="252"/>
      <c r="L18" s="252"/>
      <c r="M18" s="74"/>
      <c r="N18" s="18"/>
      <c r="O18" s="25"/>
      <c r="P18" s="18"/>
      <c r="Q18" s="156">
        <f>IF(C27=$R$9,(E27*F27/1000000)*8,IF(C27=$R$10,(E27*F27/1000000)*6.5,(E27*F27/1000000)*11))</f>
        <v>4.9378999999999999E-2</v>
      </c>
      <c r="R18" s="81">
        <v>2</v>
      </c>
    </row>
    <row r="19" spans="2:18" ht="15.75" x14ac:dyDescent="0.25">
      <c r="B19" s="310"/>
      <c r="C19" s="310"/>
      <c r="D19" s="310"/>
      <c r="E19" s="310"/>
      <c r="F19" s="310"/>
      <c r="G19" s="310"/>
      <c r="H19" s="310"/>
      <c r="J19" s="305" t="s">
        <v>0</v>
      </c>
      <c r="K19" s="269"/>
      <c r="L19" s="269"/>
      <c r="M19" s="80" t="s">
        <v>1</v>
      </c>
      <c r="N19" s="80" t="s">
        <v>17</v>
      </c>
      <c r="O19" s="200"/>
      <c r="P19" s="18"/>
      <c r="Q19" s="156">
        <f t="shared" ref="Q19:Q22" si="2">IF(C28=$R$9,(E28*F28/1000000)*8,IF(C28=$R$10,(E28*F28/1000000)*6.5,(E28*F28/1000000)*11))</f>
        <v>0</v>
      </c>
      <c r="R19" s="81">
        <v>3</v>
      </c>
    </row>
    <row r="20" spans="2:18" ht="15.75" x14ac:dyDescent="0.25">
      <c r="J20" s="311" t="s">
        <v>59</v>
      </c>
      <c r="K20" s="312"/>
      <c r="L20" s="312"/>
      <c r="M20" s="147" t="s">
        <v>60</v>
      </c>
      <c r="N20" s="62">
        <f>C9</f>
        <v>1</v>
      </c>
      <c r="O20" s="212"/>
      <c r="P20" s="18"/>
      <c r="Q20" s="156">
        <f t="shared" si="2"/>
        <v>0</v>
      </c>
      <c r="R20" s="81">
        <v>4</v>
      </c>
    </row>
    <row r="21" spans="2:18" ht="19.5" thickBot="1" x14ac:dyDescent="0.3">
      <c r="B21" s="105" t="s">
        <v>163</v>
      </c>
      <c r="C21" s="106"/>
      <c r="D21" s="106"/>
      <c r="E21" s="106"/>
      <c r="F21" s="106"/>
      <c r="G21" s="106"/>
      <c r="H21" s="106"/>
      <c r="J21" s="311" t="s">
        <v>77</v>
      </c>
      <c r="K21" s="312"/>
      <c r="L21" s="312"/>
      <c r="M21" s="147" t="s">
        <v>78</v>
      </c>
      <c r="N21" s="62">
        <f>IF(C10=R34,C9,0)</f>
        <v>1</v>
      </c>
      <c r="O21" s="212"/>
      <c r="P21" s="18"/>
      <c r="Q21" s="156">
        <f t="shared" si="2"/>
        <v>0</v>
      </c>
    </row>
    <row r="22" spans="2:18" ht="19.5" thickBot="1" x14ac:dyDescent="0.3">
      <c r="B22" s="107"/>
      <c r="C22" s="108"/>
      <c r="D22" s="108"/>
      <c r="E22" s="108"/>
      <c r="F22" s="108"/>
      <c r="G22" s="108"/>
      <c r="H22" s="109"/>
      <c r="I22" s="127"/>
      <c r="J22" s="313" t="s">
        <v>186</v>
      </c>
      <c r="K22" s="314"/>
      <c r="L22" s="314"/>
      <c r="M22" s="147" t="s">
        <v>190</v>
      </c>
      <c r="N22" s="104">
        <f>IF(C10=R35,C9,0)</f>
        <v>0</v>
      </c>
      <c r="O22" s="212"/>
      <c r="P22" s="18"/>
      <c r="Q22" s="156">
        <f t="shared" si="2"/>
        <v>0</v>
      </c>
    </row>
    <row r="23" spans="2:18" ht="19.5" thickBot="1" x14ac:dyDescent="0.35">
      <c r="B23" s="110" t="s">
        <v>122</v>
      </c>
      <c r="C23" s="111">
        <f>C7+1</f>
        <v>1</v>
      </c>
      <c r="D23" s="149"/>
      <c r="E23" s="150"/>
      <c r="F23" s="150"/>
      <c r="G23" s="150"/>
      <c r="H23" s="114"/>
      <c r="I23" s="127"/>
      <c r="J23" s="313" t="s">
        <v>187</v>
      </c>
      <c r="K23" s="314"/>
      <c r="L23" s="314"/>
      <c r="M23" s="147" t="s">
        <v>189</v>
      </c>
      <c r="N23" s="104">
        <f>IF(C10=R36,C9,0)</f>
        <v>0</v>
      </c>
      <c r="O23" s="212"/>
      <c r="P23" s="18"/>
      <c r="Q23" s="230">
        <f>SUM(Q18:Q22)</f>
        <v>4.9378999999999999E-2</v>
      </c>
      <c r="R23" s="77" t="s">
        <v>46</v>
      </c>
    </row>
    <row r="24" spans="2:18" ht="18.75" x14ac:dyDescent="0.25">
      <c r="B24" s="116"/>
      <c r="C24" s="117"/>
      <c r="D24" s="117"/>
      <c r="E24" s="117"/>
      <c r="F24" s="117"/>
      <c r="G24" s="117"/>
      <c r="H24" s="118"/>
      <c r="I24" s="127"/>
      <c r="J24" s="311" t="s">
        <v>49</v>
      </c>
      <c r="K24" s="312"/>
      <c r="L24" s="312"/>
      <c r="M24" s="147" t="s">
        <v>50</v>
      </c>
      <c r="N24" s="63">
        <f>IF(C13&lt;500,2*C9,C9*(C13/500+1))</f>
        <v>2.08</v>
      </c>
      <c r="O24" s="212"/>
      <c r="P24" s="18"/>
      <c r="Q24" s="156"/>
      <c r="R24" s="77" t="s">
        <v>151</v>
      </c>
    </row>
    <row r="25" spans="2:18" ht="18.75" x14ac:dyDescent="0.25">
      <c r="B25" s="116"/>
      <c r="C25" s="117"/>
      <c r="D25" s="117"/>
      <c r="E25" s="117"/>
      <c r="F25" s="117"/>
      <c r="G25" s="117"/>
      <c r="H25" s="118"/>
      <c r="J25" s="311" t="s">
        <v>53</v>
      </c>
      <c r="K25" s="312"/>
      <c r="L25" s="312"/>
      <c r="M25" s="147" t="s">
        <v>96</v>
      </c>
      <c r="N25" s="62">
        <f>C9</f>
        <v>1</v>
      </c>
      <c r="O25" s="212"/>
      <c r="P25" s="18"/>
      <c r="Q25" s="156"/>
      <c r="R25" s="77" t="s">
        <v>152</v>
      </c>
    </row>
    <row r="26" spans="2:18" ht="19.5" thickBot="1" x14ac:dyDescent="0.3">
      <c r="B26" s="119" t="s">
        <v>123</v>
      </c>
      <c r="C26" s="120" t="s">
        <v>124</v>
      </c>
      <c r="D26" s="121" t="s">
        <v>87</v>
      </c>
      <c r="E26" s="120" t="s">
        <v>125</v>
      </c>
      <c r="F26" s="120" t="s">
        <v>126</v>
      </c>
      <c r="G26" s="120" t="s">
        <v>145</v>
      </c>
      <c r="H26" s="122" t="s">
        <v>146</v>
      </c>
      <c r="J26" s="311" t="s">
        <v>91</v>
      </c>
      <c r="K26" s="312"/>
      <c r="L26" s="312"/>
      <c r="M26" s="75" t="s">
        <v>165</v>
      </c>
      <c r="N26" s="63">
        <f>M11*2+M12*2+M13*2</f>
        <v>0</v>
      </c>
      <c r="O26" s="212"/>
      <c r="P26" s="18"/>
      <c r="Q26" s="156"/>
      <c r="R26" s="77" t="s">
        <v>47</v>
      </c>
    </row>
    <row r="27" spans="2:18" ht="19.5" thickBot="1" x14ac:dyDescent="0.3">
      <c r="B27" s="123" t="s">
        <v>127</v>
      </c>
      <c r="C27" s="35" t="s">
        <v>21</v>
      </c>
      <c r="D27" s="146">
        <v>450</v>
      </c>
      <c r="E27" s="36">
        <f>K6-IF(E31=0,0,IF(C31=R9,E31,IF(C31=R10,E31+2,E31+3)))-IF(E30=0,0,IF(C30=R9,E30,IF(C30=R10,E30+2,E30+3)))-IF(E29=0,0,IF(C29=R9,E29,IF(C29=R10,E29+2,E29+3)))-IF(E28=0,0,IF(C28=R9,E28,IF(C28=R10,E28+2,E28+3)))-44-IF(C27=R10,2,IF(C27=R11,3,0))-C7*8</f>
        <v>-67</v>
      </c>
      <c r="F27" s="124">
        <f>IF(C27=$R$11,$K$5-63,IF(C27=$R$10,$K$5-62,$K$5-60))</f>
        <v>-67</v>
      </c>
      <c r="G27" s="125">
        <f>$C$9</f>
        <v>1</v>
      </c>
      <c r="H27" s="126">
        <f>E27*F27*D27*G27/1000000</f>
        <v>2.0200499999999999</v>
      </c>
      <c r="I27" s="127">
        <f>IF(E27&lt;&gt;0,1,0)</f>
        <v>1</v>
      </c>
      <c r="J27" s="311" t="s">
        <v>92</v>
      </c>
      <c r="K27" s="312"/>
      <c r="L27" s="312"/>
      <c r="M27" s="75" t="s">
        <v>167</v>
      </c>
      <c r="N27" s="130">
        <f>ROUNDUP((IF(C27=R10,(E27+F27)*2*G27,0)+IF(C28=R10,(E28+F28)*2*G28,0)+IF(C29=R10,(E29+F29)*2*G29,0)+IF(C30=R10,(E30+F30)*2*G30,0)+IF(C31=R10,(E31+F31)*2*G31,0))/1000,0)</f>
        <v>0</v>
      </c>
      <c r="O27" s="212"/>
      <c r="P27" s="18"/>
      <c r="Q27" s="231">
        <f>(Q15+Q23)*1.05</f>
        <v>0.14767095000000002</v>
      </c>
      <c r="R27" s="77" t="s">
        <v>48</v>
      </c>
    </row>
    <row r="28" spans="2:18" ht="18.75" x14ac:dyDescent="0.25">
      <c r="B28" s="123" t="s">
        <v>128</v>
      </c>
      <c r="C28" s="35" t="s">
        <v>19</v>
      </c>
      <c r="D28" s="146">
        <v>450</v>
      </c>
      <c r="E28" s="37">
        <v>0</v>
      </c>
      <c r="F28" s="124">
        <f>IF(C28=$R$11,$K$5-63,IF(C28=$R$10,$K$5-62,$K$5-60))</f>
        <v>-64</v>
      </c>
      <c r="G28" s="125">
        <f t="shared" ref="G28:G30" si="3">IF(E28&lt;&gt;0,$C$9,0)</f>
        <v>0</v>
      </c>
      <c r="H28" s="126">
        <f t="shared" ref="H28:H31" si="4">E28*F28*D28*G28/1000000</f>
        <v>0</v>
      </c>
      <c r="I28" s="127">
        <f>IF(E28&lt;&gt;0,1,0)</f>
        <v>0</v>
      </c>
      <c r="J28" s="313" t="s">
        <v>93</v>
      </c>
      <c r="K28" s="314"/>
      <c r="L28" s="314"/>
      <c r="M28" s="75" t="s">
        <v>168</v>
      </c>
      <c r="N28" s="130">
        <f>ROUNDUP((IF(C27=R11,(E27+F27)*2*G27,0)+IF(C28=R11,(E28+F28)*2*G28,0)+IF(C29=R11,(E29+F29)*2*G29,0)+IF(C30=R11,(E30+F30)*2*G30,0)+IF(C31=R11,(E31+F31)*2*G31,0))/1000,0)</f>
        <v>-1</v>
      </c>
      <c r="O28" s="212"/>
      <c r="P28" s="18"/>
    </row>
    <row r="29" spans="2:18" ht="18.75" x14ac:dyDescent="0.25">
      <c r="B29" s="123" t="s">
        <v>129</v>
      </c>
      <c r="C29" s="35" t="s">
        <v>19</v>
      </c>
      <c r="D29" s="146">
        <v>450</v>
      </c>
      <c r="E29" s="37">
        <v>0</v>
      </c>
      <c r="F29" s="124">
        <f>IF(C29=$R$11,$K$5-63,IF(C29=$R$10,$K$5-62,$K$5-60))</f>
        <v>-64</v>
      </c>
      <c r="G29" s="125">
        <f t="shared" si="3"/>
        <v>0</v>
      </c>
      <c r="H29" s="126">
        <f t="shared" si="4"/>
        <v>0</v>
      </c>
      <c r="I29" s="127">
        <f>IF(E29&lt;&gt;0,1,0)</f>
        <v>0</v>
      </c>
      <c r="J29" s="311" t="s">
        <v>90</v>
      </c>
      <c r="K29" s="312"/>
      <c r="L29" s="312"/>
      <c r="M29" s="75" t="s">
        <v>169</v>
      </c>
      <c r="N29" s="63">
        <f>IF(C11=R39,N26,0)</f>
        <v>0</v>
      </c>
      <c r="O29" s="212"/>
      <c r="P29" s="18"/>
    </row>
    <row r="30" spans="2:18" ht="22.5" x14ac:dyDescent="0.25">
      <c r="B30" s="123" t="s">
        <v>130</v>
      </c>
      <c r="C30" s="35" t="s">
        <v>19</v>
      </c>
      <c r="D30" s="146">
        <v>450</v>
      </c>
      <c r="E30" s="37">
        <v>0</v>
      </c>
      <c r="F30" s="124">
        <f>IF(C30=$R$11,$K$5-63,IF(C30=$R$10,$K$5-62,$K$5-60))</f>
        <v>-64</v>
      </c>
      <c r="G30" s="125">
        <f t="shared" si="3"/>
        <v>0</v>
      </c>
      <c r="H30" s="126">
        <f t="shared" si="4"/>
        <v>0</v>
      </c>
      <c r="I30" s="127">
        <f>IF(E30&lt;&gt;0,1,0)</f>
        <v>0</v>
      </c>
      <c r="J30" s="299" t="s">
        <v>184</v>
      </c>
      <c r="K30" s="300"/>
      <c r="L30" s="300"/>
      <c r="M30" s="44" t="s">
        <v>183</v>
      </c>
      <c r="N30" s="55">
        <f>IF(C11=R40,N26,0)</f>
        <v>0</v>
      </c>
      <c r="O30" s="201"/>
      <c r="P30" s="18"/>
    </row>
    <row r="31" spans="2:18" ht="19.5" thickBot="1" x14ac:dyDescent="0.3">
      <c r="B31" s="132" t="s">
        <v>131</v>
      </c>
      <c r="C31" s="35" t="s">
        <v>19</v>
      </c>
      <c r="D31" s="146">
        <v>450</v>
      </c>
      <c r="E31" s="37">
        <v>0</v>
      </c>
      <c r="F31" s="124">
        <f>IF(C31=$R$11,$K$5-63,IF(C31=$R$10,$K$5-62,$K$5-60))</f>
        <v>-64</v>
      </c>
      <c r="G31" s="125">
        <f>IF(E31&lt;&gt;0,$C$9,0)</f>
        <v>0</v>
      </c>
      <c r="H31" s="126">
        <f t="shared" si="4"/>
        <v>0</v>
      </c>
      <c r="I31" s="127">
        <f>IF(E31&lt;&gt;0,1,0)</f>
        <v>0</v>
      </c>
      <c r="J31" s="301" t="s">
        <v>83</v>
      </c>
      <c r="K31" s="302"/>
      <c r="L31" s="302"/>
      <c r="M31" s="76" t="s">
        <v>84</v>
      </c>
      <c r="N31" s="136">
        <f>IF(C11=R42,ROUNDUP(L10*M10/1000,0),0)</f>
        <v>0</v>
      </c>
      <c r="O31" s="201"/>
      <c r="P31" s="18"/>
      <c r="R31" s="131" t="s">
        <v>132</v>
      </c>
    </row>
    <row r="32" spans="2:18" ht="19.5" thickBot="1" x14ac:dyDescent="0.3">
      <c r="B32" s="116"/>
      <c r="C32" s="117"/>
      <c r="D32" s="117"/>
      <c r="E32" s="267" t="s">
        <v>88</v>
      </c>
      <c r="F32" s="267"/>
      <c r="G32" s="268"/>
      <c r="H32" s="133">
        <f>SUM(H27:H31)</f>
        <v>2.0200499999999999</v>
      </c>
      <c r="J32" s="301" t="s">
        <v>147</v>
      </c>
      <c r="K32" s="302"/>
      <c r="L32" s="302"/>
      <c r="M32" s="169" t="s">
        <v>174</v>
      </c>
      <c r="N32" s="136">
        <f>IF(C11=R41,ROUNDUP(L10*M10/1000,0),0)</f>
        <v>0</v>
      </c>
      <c r="O32" s="201"/>
      <c r="P32" s="18"/>
      <c r="R32" s="131" t="s">
        <v>107</v>
      </c>
    </row>
    <row r="33" spans="2:18" ht="18.75" x14ac:dyDescent="0.25">
      <c r="B33" s="116"/>
      <c r="C33" s="308" t="str">
        <f>IF((SUM(I27:I31)/C23)&lt;&gt;1,R45,R46)</f>
        <v>Верно внесены высоты вставок</v>
      </c>
      <c r="D33" s="309"/>
      <c r="E33" s="113">
        <f>IF(C33=R46,1,0)</f>
        <v>1</v>
      </c>
      <c r="F33" s="113"/>
      <c r="G33" s="113"/>
      <c r="H33" s="118"/>
      <c r="J33" s="301" t="s">
        <v>170</v>
      </c>
      <c r="K33" s="302"/>
      <c r="L33" s="302"/>
      <c r="M33" s="76" t="s">
        <v>171</v>
      </c>
      <c r="N33" s="61">
        <f>IF(N32&gt;0,M10*2,0)</f>
        <v>0</v>
      </c>
      <c r="O33" s="201"/>
      <c r="P33" s="18"/>
    </row>
    <row r="34" spans="2:18" ht="18.75" x14ac:dyDescent="0.25">
      <c r="B34" s="116"/>
      <c r="C34" s="117"/>
      <c r="D34" s="117"/>
      <c r="E34" s="117"/>
      <c r="F34" s="117"/>
      <c r="G34" s="117"/>
      <c r="H34" s="118"/>
      <c r="J34" s="301" t="s">
        <v>206</v>
      </c>
      <c r="K34" s="302"/>
      <c r="L34" s="302"/>
      <c r="M34" s="75" t="s">
        <v>54</v>
      </c>
      <c r="N34" s="61">
        <f>IF(C14=R53,C9,0)</f>
        <v>0</v>
      </c>
      <c r="O34" s="201"/>
      <c r="P34" s="18"/>
      <c r="R34" s="91" t="s">
        <v>77</v>
      </c>
    </row>
    <row r="35" spans="2:18" ht="18.75" x14ac:dyDescent="0.25">
      <c r="B35" s="116"/>
      <c r="C35" s="137"/>
      <c r="D35" s="137"/>
      <c r="E35" s="138"/>
      <c r="F35" s="138"/>
      <c r="G35" s="138"/>
      <c r="H35" s="118"/>
      <c r="J35" s="301" t="s">
        <v>172</v>
      </c>
      <c r="K35" s="302"/>
      <c r="L35" s="302"/>
      <c r="M35" s="75" t="s">
        <v>173</v>
      </c>
      <c r="N35" s="61">
        <f>C12</f>
        <v>0</v>
      </c>
      <c r="O35" s="201"/>
      <c r="P35" s="18"/>
      <c r="R35" s="91" t="s">
        <v>186</v>
      </c>
    </row>
    <row r="36" spans="2:18" ht="19.5" thickBot="1" x14ac:dyDescent="0.3">
      <c r="B36" s="116"/>
      <c r="C36" s="117"/>
      <c r="D36" s="117"/>
      <c r="E36" s="117"/>
      <c r="F36" s="117"/>
      <c r="G36" s="117"/>
      <c r="H36" s="25"/>
      <c r="J36" s="161"/>
      <c r="K36" s="152"/>
      <c r="L36" s="151"/>
      <c r="M36" s="151"/>
      <c r="N36" s="151"/>
      <c r="O36" s="216"/>
      <c r="P36" s="18"/>
      <c r="R36" s="91" t="s">
        <v>187</v>
      </c>
    </row>
    <row r="37" spans="2:18" ht="19.5" thickBot="1" x14ac:dyDescent="0.3">
      <c r="B37" s="116"/>
      <c r="C37" s="304" t="str">
        <f>IF(AND(SUM(I27:I31)/C23=1,E31=0,C23&lt;&gt;1),R49,R50)</f>
        <v xml:space="preserve"> </v>
      </c>
      <c r="D37" s="304"/>
      <c r="E37" s="138"/>
      <c r="F37" s="138"/>
      <c r="G37" s="188" t="s">
        <v>210</v>
      </c>
      <c r="H37" s="232">
        <f>ROUNDUP(Q27,0)</f>
        <v>1</v>
      </c>
      <c r="J37" s="161"/>
      <c r="K37" s="18"/>
      <c r="L37" s="18"/>
      <c r="M37" s="18"/>
      <c r="N37" s="18"/>
      <c r="O37" s="25"/>
      <c r="P37" s="18"/>
    </row>
    <row r="38" spans="2:18" ht="18.75" x14ac:dyDescent="0.25">
      <c r="B38" s="116"/>
      <c r="C38" s="117"/>
      <c r="D38" s="117"/>
      <c r="E38" s="117"/>
      <c r="F38" s="117"/>
      <c r="G38" s="117"/>
      <c r="H38" s="25"/>
      <c r="J38" s="161"/>
      <c r="K38" s="18"/>
      <c r="L38" s="18"/>
      <c r="M38" s="18"/>
      <c r="N38" s="18"/>
      <c r="O38" s="25"/>
      <c r="P38" s="18"/>
    </row>
    <row r="39" spans="2:18" ht="18.75" x14ac:dyDescent="0.25">
      <c r="B39" s="116"/>
      <c r="C39" s="117"/>
      <c r="D39" s="117"/>
      <c r="E39" s="117"/>
      <c r="F39" s="117"/>
      <c r="G39" s="117"/>
      <c r="H39" s="25"/>
      <c r="J39" s="161"/>
      <c r="K39" s="18"/>
      <c r="L39" s="18"/>
      <c r="M39" s="18"/>
      <c r="N39" s="18"/>
      <c r="O39" s="25"/>
      <c r="P39" s="18"/>
      <c r="R39" s="12" t="s">
        <v>90</v>
      </c>
    </row>
    <row r="40" spans="2:18" ht="18.75" x14ac:dyDescent="0.3">
      <c r="B40" s="139"/>
      <c r="C40" s="140"/>
      <c r="D40" s="113"/>
      <c r="E40" s="113"/>
      <c r="F40" s="113"/>
      <c r="G40" s="113"/>
      <c r="H40" s="25"/>
      <c r="J40" s="161"/>
      <c r="K40" s="18"/>
      <c r="L40" s="18"/>
      <c r="M40" s="18"/>
      <c r="N40" s="18"/>
      <c r="O40" s="25"/>
      <c r="P40" s="18"/>
      <c r="R40" s="135" t="s">
        <v>159</v>
      </c>
    </row>
    <row r="41" spans="2:18" x14ac:dyDescent="0.25">
      <c r="B41" s="26"/>
      <c r="C41" s="19"/>
      <c r="D41" s="19"/>
      <c r="E41" s="19"/>
      <c r="F41" s="19"/>
      <c r="G41" s="19"/>
      <c r="H41" s="27"/>
      <c r="J41" s="161"/>
      <c r="K41" s="18"/>
      <c r="L41" s="18"/>
      <c r="M41" s="18"/>
      <c r="N41" s="18"/>
      <c r="O41" s="25"/>
      <c r="P41" s="18"/>
      <c r="Q41" s="18"/>
      <c r="R41" s="135" t="s">
        <v>147</v>
      </c>
    </row>
    <row r="42" spans="2:18" ht="18.75" x14ac:dyDescent="0.3">
      <c r="B42" s="139"/>
      <c r="C42" s="140"/>
      <c r="D42" s="113"/>
      <c r="E42" s="113"/>
      <c r="F42" s="113"/>
      <c r="G42" s="113"/>
      <c r="H42" s="114"/>
      <c r="J42" s="161"/>
      <c r="K42" s="18"/>
      <c r="L42" s="18"/>
      <c r="M42" s="18"/>
      <c r="N42" s="18"/>
      <c r="O42" s="25"/>
      <c r="P42" s="18"/>
      <c r="Q42" s="18"/>
      <c r="R42" s="12" t="s">
        <v>83</v>
      </c>
    </row>
    <row r="43" spans="2:18" ht="18.75" x14ac:dyDescent="0.3">
      <c r="B43" s="139"/>
      <c r="C43" s="140"/>
      <c r="D43" s="113"/>
      <c r="E43" s="113"/>
      <c r="F43" s="113"/>
      <c r="G43" s="113"/>
      <c r="H43" s="114"/>
      <c r="J43" s="161"/>
      <c r="K43" s="18"/>
      <c r="L43" s="18"/>
      <c r="M43" s="18"/>
      <c r="N43" s="18"/>
      <c r="O43" s="25"/>
    </row>
    <row r="44" spans="2:18" ht="19.5" thickBot="1" x14ac:dyDescent="0.35">
      <c r="B44" s="142"/>
      <c r="C44" s="143"/>
      <c r="D44" s="144"/>
      <c r="E44" s="144"/>
      <c r="F44" s="144"/>
      <c r="G44" s="144"/>
      <c r="H44" s="145"/>
      <c r="J44" s="170"/>
      <c r="K44" s="66"/>
      <c r="L44" s="66"/>
      <c r="M44" s="66"/>
      <c r="N44" s="66"/>
      <c r="O44" s="217"/>
    </row>
    <row r="45" spans="2:18" ht="18.75" x14ac:dyDescent="0.25">
      <c r="R45" s="131" t="s">
        <v>134</v>
      </c>
    </row>
    <row r="46" spans="2:18" ht="18.75" x14ac:dyDescent="0.25">
      <c r="R46" s="131" t="s">
        <v>135</v>
      </c>
    </row>
    <row r="49" spans="18:18" ht="18.75" x14ac:dyDescent="0.3">
      <c r="R49" s="141" t="s">
        <v>144</v>
      </c>
    </row>
    <row r="50" spans="18:18" x14ac:dyDescent="0.25">
      <c r="R50" s="12" t="s">
        <v>107</v>
      </c>
    </row>
    <row r="53" spans="18:18" x14ac:dyDescent="0.25">
      <c r="R53" s="91" t="s">
        <v>111</v>
      </c>
    </row>
    <row r="54" spans="18:18" x14ac:dyDescent="0.25">
      <c r="R54" s="91" t="s">
        <v>112</v>
      </c>
    </row>
    <row r="58" spans="18:18" x14ac:dyDescent="0.25">
      <c r="R58" s="91" t="s">
        <v>209</v>
      </c>
    </row>
    <row r="59" spans="18:18" x14ac:dyDescent="0.25">
      <c r="R59" s="91" t="s">
        <v>204</v>
      </c>
    </row>
    <row r="62" spans="18:18" x14ac:dyDescent="0.25">
      <c r="R62" s="12" t="s">
        <v>207</v>
      </c>
    </row>
    <row r="63" spans="18:18" x14ac:dyDescent="0.25">
      <c r="R63" s="91" t="s">
        <v>204</v>
      </c>
    </row>
    <row r="76" spans="2:8" ht="18.75" x14ac:dyDescent="0.3">
      <c r="B76" s="140"/>
      <c r="C76" s="140"/>
      <c r="D76" s="113"/>
      <c r="E76" s="113"/>
      <c r="F76" s="113"/>
      <c r="G76" s="113"/>
      <c r="H76" s="113"/>
    </row>
  </sheetData>
  <sheetProtection algorithmName="SHA-512" hashValue="mB2Tc5aeYCZ9y/WsBpZXo7QrfkAGUBjwxKaKMcLL1jnZ6bM2QYEFvoTvLz2TF0tKBlDwqmjq6Yaa756RemoAVQ==" saltValue="J/G8GfmSlTZ7Hm1bsNXjHA==" spinCount="100000" sheet="1" objects="1" scenarios="1" selectLockedCells="1"/>
  <mergeCells count="40">
    <mergeCell ref="B1:N1"/>
    <mergeCell ref="D4:H4"/>
    <mergeCell ref="D10:H10"/>
    <mergeCell ref="D5:H5"/>
    <mergeCell ref="B2:H2"/>
    <mergeCell ref="B3:C3"/>
    <mergeCell ref="D6:H6"/>
    <mergeCell ref="D7:H7"/>
    <mergeCell ref="D9:H9"/>
    <mergeCell ref="D8:H8"/>
    <mergeCell ref="J2:O2"/>
    <mergeCell ref="J3:K3"/>
    <mergeCell ref="J8:M8"/>
    <mergeCell ref="J29:L29"/>
    <mergeCell ref="J27:L27"/>
    <mergeCell ref="J28:L28"/>
    <mergeCell ref="J34:L34"/>
    <mergeCell ref="J19:L19"/>
    <mergeCell ref="J20:L20"/>
    <mergeCell ref="J21:L21"/>
    <mergeCell ref="J24:L24"/>
    <mergeCell ref="J25:L25"/>
    <mergeCell ref="J22:L22"/>
    <mergeCell ref="J23:L23"/>
    <mergeCell ref="C37:D37"/>
    <mergeCell ref="D13:H13"/>
    <mergeCell ref="D11:H11"/>
    <mergeCell ref="D12:H12"/>
    <mergeCell ref="J30:L30"/>
    <mergeCell ref="J31:L31"/>
    <mergeCell ref="J32:L32"/>
    <mergeCell ref="C33:D33"/>
    <mergeCell ref="E32:G32"/>
    <mergeCell ref="B16:H16"/>
    <mergeCell ref="B17:H19"/>
    <mergeCell ref="D14:H14"/>
    <mergeCell ref="J33:L33"/>
    <mergeCell ref="J35:L35"/>
    <mergeCell ref="J18:L18"/>
    <mergeCell ref="J26:L26"/>
  </mergeCells>
  <conditionalFormatting sqref="D5">
    <cfRule type="cellIs" dxfId="59" priority="59" operator="equal">
      <formula>$R$58</formula>
    </cfRule>
  </conditionalFormatting>
  <conditionalFormatting sqref="K5:K6 L10:N10 L11:M14 O14 N20:O21 N24:O25 N26 N29 O22:O23 N30:O33 N35:O35">
    <cfRule type="expression" dxfId="58" priority="2">
      <formula>$C$5=0</formula>
    </cfRule>
  </conditionalFormatting>
  <conditionalFormatting sqref="N27:N28">
    <cfRule type="expression" dxfId="57" priority="53">
      <formula>$C$5=0</formula>
    </cfRule>
  </conditionalFormatting>
  <conditionalFormatting sqref="D5:H13">
    <cfRule type="expression" dxfId="56" priority="52">
      <formula>$C5=0</formula>
    </cfRule>
  </conditionalFormatting>
  <conditionalFormatting sqref="O10">
    <cfRule type="expression" dxfId="55" priority="50">
      <formula>$C$5=0</formula>
    </cfRule>
  </conditionalFormatting>
  <conditionalFormatting sqref="O11:O13">
    <cfRule type="expression" dxfId="54" priority="49">
      <formula>$C$5=0</formula>
    </cfRule>
  </conditionalFormatting>
  <conditionalFormatting sqref="O36">
    <cfRule type="expression" dxfId="53" priority="47">
      <formula>$C$5=0</formula>
    </cfRule>
  </conditionalFormatting>
  <conditionalFormatting sqref="O27:O28">
    <cfRule type="expression" dxfId="52" priority="45">
      <formula>$C$5=0</formula>
    </cfRule>
  </conditionalFormatting>
  <conditionalFormatting sqref="O26">
    <cfRule type="expression" dxfId="51" priority="44">
      <formula>$C$5=0</formula>
    </cfRule>
  </conditionalFormatting>
  <conditionalFormatting sqref="O29">
    <cfRule type="expression" dxfId="50" priority="43">
      <formula>$C$5=0</formula>
    </cfRule>
  </conditionalFormatting>
  <conditionalFormatting sqref="K5">
    <cfRule type="expression" dxfId="49" priority="58">
      <formula>$C$9=0</formula>
    </cfRule>
    <cfRule type="expression" dxfId="48" priority="116">
      <formula>AND(OR($K$5&lt;200,$K$5&gt;700),$C$5&gt;0)</formula>
    </cfRule>
  </conditionalFormatting>
  <conditionalFormatting sqref="N11:N14">
    <cfRule type="expression" dxfId="47" priority="41">
      <formula>$C$5=0</formula>
    </cfRule>
  </conditionalFormatting>
  <conditionalFormatting sqref="C11">
    <cfRule type="cellIs" dxfId="46" priority="28" operator="greaterThan">
      <formula>0</formula>
    </cfRule>
  </conditionalFormatting>
  <conditionalFormatting sqref="D11:H11">
    <cfRule type="expression" dxfId="45" priority="27">
      <formula>$C$5=0</formula>
    </cfRule>
  </conditionalFormatting>
  <conditionalFormatting sqref="C12">
    <cfRule type="cellIs" dxfId="44" priority="26" operator="greaterThan">
      <formula>0</formula>
    </cfRule>
  </conditionalFormatting>
  <conditionalFormatting sqref="D12:H12">
    <cfRule type="expression" dxfId="43" priority="25">
      <formula>$C$5=0</formula>
    </cfRule>
  </conditionalFormatting>
  <conditionalFormatting sqref="N32 O30:O33 O35">
    <cfRule type="expression" dxfId="42" priority="24">
      <formula>$C$4=0</formula>
    </cfRule>
  </conditionalFormatting>
  <conditionalFormatting sqref="N31">
    <cfRule type="expression" dxfId="41" priority="23">
      <formula>$C$4=0</formula>
    </cfRule>
  </conditionalFormatting>
  <conditionalFormatting sqref="N33">
    <cfRule type="expression" dxfId="40" priority="22">
      <formula>$C$4=0</formula>
    </cfRule>
  </conditionalFormatting>
  <conditionalFormatting sqref="N35">
    <cfRule type="expression" dxfId="39" priority="21">
      <formula>$C$4=0</formula>
    </cfRule>
  </conditionalFormatting>
  <conditionalFormatting sqref="C13">
    <cfRule type="cellIs" dxfId="38" priority="19" operator="greaterThan">
      <formula>0</formula>
    </cfRule>
  </conditionalFormatting>
  <conditionalFormatting sqref="D13:H13">
    <cfRule type="expression" dxfId="37" priority="18">
      <formula>$C$5=0</formula>
    </cfRule>
  </conditionalFormatting>
  <conditionalFormatting sqref="D9:H10">
    <cfRule type="expression" dxfId="36" priority="12">
      <formula>$C$5=0</formula>
    </cfRule>
  </conditionalFormatting>
  <conditionalFormatting sqref="E27 H32 F27:H31 N22:N23">
    <cfRule type="expression" dxfId="35" priority="11">
      <formula>$C$5=0</formula>
    </cfRule>
  </conditionalFormatting>
  <conditionalFormatting sqref="C14">
    <cfRule type="cellIs" dxfId="34" priority="10" operator="greaterThan">
      <formula>0</formula>
    </cfRule>
  </conditionalFormatting>
  <conditionalFormatting sqref="D14:H14">
    <cfRule type="expression" dxfId="33" priority="7">
      <formula>$C$6=0</formula>
    </cfRule>
  </conditionalFormatting>
  <conditionalFormatting sqref="N34:O34">
    <cfRule type="expression" dxfId="32" priority="4">
      <formula>$C$5=0</formula>
    </cfRule>
  </conditionalFormatting>
  <conditionalFormatting sqref="O34">
    <cfRule type="expression" dxfId="31" priority="6">
      <formula>$C$4=0</formula>
    </cfRule>
  </conditionalFormatting>
  <conditionalFormatting sqref="N34">
    <cfRule type="expression" dxfId="30" priority="5">
      <formula>$C$4=0</formula>
    </cfRule>
  </conditionalFormatting>
  <conditionalFormatting sqref="D14:H14">
    <cfRule type="expression" dxfId="29" priority="142">
      <formula>#REF!="нет"</formula>
    </cfRule>
    <cfRule type="expression" dxfId="28" priority="143">
      <formula>#REF!="невозможно установить, ширина двери должна быть не менее 650 мм"</formula>
    </cfRule>
  </conditionalFormatting>
  <conditionalFormatting sqref="K6">
    <cfRule type="expression" dxfId="27" priority="13">
      <formula>$K$6&gt;3200</formula>
    </cfRule>
  </conditionalFormatting>
  <conditionalFormatting sqref="C37">
    <cfRule type="expression" dxfId="26" priority="170">
      <formula>$C$37=$R$49</formula>
    </cfRule>
  </conditionalFormatting>
  <conditionalFormatting sqref="C33">
    <cfRule type="expression" dxfId="25" priority="171">
      <formula>$C$33=$R$46</formula>
    </cfRule>
  </conditionalFormatting>
  <conditionalFormatting sqref="C33:D33">
    <cfRule type="expression" dxfId="24" priority="172">
      <formula>$C$33=$R$45</formula>
    </cfRule>
  </conditionalFormatting>
  <conditionalFormatting sqref="D6:H6">
    <cfRule type="expression" dxfId="23" priority="173">
      <formula>$D$6=$R$62</formula>
    </cfRule>
  </conditionalFormatting>
  <conditionalFormatting sqref="H37">
    <cfRule type="expression" dxfId="22" priority="1">
      <formula>$C$5=0</formula>
    </cfRule>
  </conditionalFormatting>
  <dataValidations count="9">
    <dataValidation type="list" allowBlank="1" showInputMessage="1" showErrorMessage="1" sqref="C9">
      <formula1>$R$5:$R$6</formula1>
    </dataValidation>
    <dataValidation type="list" allowBlank="1" showInputMessage="1" showErrorMessage="1" sqref="C10">
      <formula1>$R$34:$R$36</formula1>
    </dataValidation>
    <dataValidation type="list" allowBlank="1" showInputMessage="1" showErrorMessage="1" sqref="C8">
      <formula1>$R$23:$R$27</formula1>
    </dataValidation>
    <dataValidation type="list" allowBlank="1" showInputMessage="1" showErrorMessage="1" sqref="C7">
      <formula1>$R$16:$R$20</formula1>
    </dataValidation>
    <dataValidation type="list" allowBlank="1" showInputMessage="1" showErrorMessage="1" sqref="C11">
      <formula1>$R$39:$R$42</formula1>
    </dataValidation>
    <dataValidation type="whole" allowBlank="1" showInputMessage="1" showErrorMessage="1" sqref="C12">
      <formula1>0</formula1>
      <formula2>20</formula2>
    </dataValidation>
    <dataValidation type="list" allowBlank="1" showInputMessage="1" showErrorMessage="1" sqref="C27:C31">
      <formula1>$R$9:$R$11</formula1>
    </dataValidation>
    <dataValidation type="whole" allowBlank="1" showInputMessage="1" showErrorMessage="1" sqref="C13">
      <formula1>150</formula1>
      <formula2>K6</formula2>
    </dataValidation>
    <dataValidation type="list" allowBlank="1" showInputMessage="1" showErrorMessage="1" sqref="C14">
      <formula1>$R$53:$R$54</formula1>
    </dataValidation>
  </dataValidations>
  <hyperlinks>
    <hyperlink ref="O1" location="ОГЛАВЛЕНИЕ!A1" display="оглавление"/>
  </hyperlink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2" id="{3A7EAEEA-726E-4DA4-B12F-F689FFE67DAE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E33:G33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1"/>
    <pageSetUpPr fitToPage="1"/>
  </sheetPr>
  <dimension ref="B1:W62"/>
  <sheetViews>
    <sheetView zoomScale="70" zoomScaleNormal="70" workbookViewId="0">
      <selection activeCell="C5" sqref="C5"/>
    </sheetView>
  </sheetViews>
  <sheetFormatPr defaultColWidth="8.85546875" defaultRowHeight="15" x14ac:dyDescent="0.25"/>
  <cols>
    <col min="1" max="1" width="1" style="91" customWidth="1"/>
    <col min="2" max="2" width="44.42578125" style="91" customWidth="1"/>
    <col min="3" max="3" width="40.28515625" style="91" customWidth="1"/>
    <col min="4" max="8" width="14.7109375" style="91" customWidth="1"/>
    <col min="9" max="9" width="1.7109375" style="91" customWidth="1"/>
    <col min="10" max="10" width="25" style="91" customWidth="1"/>
    <col min="11" max="12" width="12.85546875" style="91" customWidth="1"/>
    <col min="13" max="13" width="14" style="91" customWidth="1"/>
    <col min="14" max="14" width="15.42578125" style="91" customWidth="1"/>
    <col min="15" max="15" width="16.42578125" style="91" customWidth="1"/>
    <col min="16" max="16" width="5.28515625" style="91" customWidth="1"/>
    <col min="17" max="17" width="27.28515625" style="91" hidden="1" customWidth="1"/>
    <col min="18" max="18" width="8.85546875" style="91" hidden="1" customWidth="1"/>
    <col min="19" max="19" width="27.28515625" style="91" hidden="1" customWidth="1"/>
    <col min="20" max="21" width="0" style="91" hidden="1" customWidth="1"/>
    <col min="22" max="16384" width="8.85546875" style="91"/>
  </cols>
  <sheetData>
    <row r="1" spans="2:23" ht="19.5" thickBot="1" x14ac:dyDescent="0.3">
      <c r="B1" s="315" t="s">
        <v>116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6"/>
      <c r="O1" s="228" t="s">
        <v>86</v>
      </c>
      <c r="P1" s="155"/>
    </row>
    <row r="2" spans="2:23" s="13" customFormat="1" x14ac:dyDescent="0.25">
      <c r="B2" s="279" t="s">
        <v>119</v>
      </c>
      <c r="C2" s="284"/>
      <c r="D2" s="284"/>
      <c r="E2" s="284"/>
      <c r="F2" s="284"/>
      <c r="G2" s="284"/>
      <c r="H2" s="285"/>
      <c r="J2" s="279" t="s">
        <v>120</v>
      </c>
      <c r="K2" s="280"/>
      <c r="L2" s="280"/>
      <c r="M2" s="280"/>
      <c r="N2" s="280"/>
      <c r="O2" s="281"/>
      <c r="P2" s="79"/>
      <c r="Q2" s="171"/>
      <c r="R2" s="171"/>
      <c r="S2" s="171"/>
      <c r="T2" s="171"/>
      <c r="U2" s="171"/>
      <c r="V2" s="171"/>
      <c r="W2" s="171"/>
    </row>
    <row r="3" spans="2:23" ht="15.75" x14ac:dyDescent="0.25">
      <c r="B3" s="251" t="s">
        <v>23</v>
      </c>
      <c r="C3" s="252"/>
      <c r="D3" s="18"/>
      <c r="E3" s="18"/>
      <c r="F3" s="18"/>
      <c r="G3" s="18"/>
      <c r="H3" s="25"/>
      <c r="J3" s="251" t="s">
        <v>113</v>
      </c>
      <c r="K3" s="252"/>
      <c r="L3" s="18"/>
      <c r="M3" s="18"/>
      <c r="N3" s="18"/>
      <c r="O3" s="25"/>
      <c r="P3" s="18"/>
      <c r="Q3" s="18"/>
      <c r="R3" s="18"/>
      <c r="S3" s="18"/>
      <c r="T3" s="18"/>
      <c r="U3" s="18"/>
      <c r="V3" s="18"/>
      <c r="W3" s="18"/>
    </row>
    <row r="4" spans="2:23" ht="18.75" x14ac:dyDescent="0.25">
      <c r="B4" s="172" t="s">
        <v>10</v>
      </c>
      <c r="C4" s="173" t="s">
        <v>24</v>
      </c>
      <c r="D4" s="320" t="s">
        <v>27</v>
      </c>
      <c r="E4" s="321"/>
      <c r="F4" s="321"/>
      <c r="G4" s="321"/>
      <c r="H4" s="322"/>
      <c r="J4" s="52" t="s">
        <v>0</v>
      </c>
      <c r="K4" s="80" t="s">
        <v>24</v>
      </c>
      <c r="L4" s="18"/>
      <c r="M4" s="18"/>
      <c r="N4" s="18"/>
      <c r="O4" s="25"/>
      <c r="P4" s="18"/>
      <c r="Q4" s="18"/>
      <c r="R4" s="18"/>
      <c r="S4" s="18"/>
      <c r="T4" s="18"/>
      <c r="U4" s="18"/>
      <c r="V4" s="18"/>
      <c r="W4" s="18"/>
    </row>
    <row r="5" spans="2:23" ht="18.75" x14ac:dyDescent="0.25">
      <c r="B5" s="46" t="s">
        <v>136</v>
      </c>
      <c r="C5" s="68">
        <v>0</v>
      </c>
      <c r="D5" s="317" t="str">
        <f>IF(OR(K5&lt;200,K5&gt;700),Q46,Q47)</f>
        <v>не рекомендуем, ширина двери должна быть от 200 мм до 700 мм</v>
      </c>
      <c r="E5" s="318"/>
      <c r="F5" s="318"/>
      <c r="G5" s="318"/>
      <c r="H5" s="319"/>
      <c r="J5" s="158" t="s">
        <v>26</v>
      </c>
      <c r="K5" s="159">
        <f>ROUNDDOWN(IF(AND(C9=Q18,OR(C11=Q38,C11=Q39)),(C5+39+39)/4,
IF(AND(C9=Q18,OR(C11=Q40,C11=Q41)),(C5-10+39+39)/4,
IF(AND(OR(C9=Q16,C9=Q17,C9=Q19),C11=Q38),C5/C10,
IF(AND(OR(C9=Q16,C9=Q17,C9=Q19),C11=Q39),(C5-2)/C10,
IF(AND(OR(C9=Q16,C9=Q17,C9=Q19),OR(C11=Q40,C11=Q41)),(C5-10)/C10))))),0)</f>
        <v>0</v>
      </c>
      <c r="L5" s="18"/>
      <c r="M5" s="18"/>
      <c r="N5" s="18"/>
      <c r="O5" s="25"/>
      <c r="P5" s="18"/>
      <c r="Q5" s="18"/>
      <c r="R5" s="18"/>
      <c r="S5" s="18"/>
      <c r="T5" s="18"/>
      <c r="U5" s="18"/>
      <c r="V5" s="18"/>
      <c r="W5" s="18"/>
    </row>
    <row r="6" spans="2:23" ht="18.75" x14ac:dyDescent="0.25">
      <c r="B6" s="46" t="s">
        <v>137</v>
      </c>
      <c r="C6" s="68">
        <v>0</v>
      </c>
      <c r="D6" s="317" t="str">
        <f>IF(K6&gt;3200,Q50,Q51)</f>
        <v>допустимо</v>
      </c>
      <c r="E6" s="318"/>
      <c r="F6" s="318"/>
      <c r="G6" s="318"/>
      <c r="H6" s="319"/>
      <c r="J6" s="158" t="s">
        <v>25</v>
      </c>
      <c r="K6" s="159">
        <f>IF(OR(C9=Q16,C9=Q17,C9=Q18),C6-45,C6-85)</f>
        <v>-45</v>
      </c>
      <c r="L6" s="18"/>
      <c r="M6" s="18"/>
      <c r="N6" s="18"/>
      <c r="O6" s="25"/>
      <c r="P6" s="18"/>
      <c r="Q6" s="18"/>
      <c r="R6" s="18"/>
      <c r="S6" s="18"/>
      <c r="T6" s="18"/>
      <c r="U6" s="18"/>
      <c r="V6" s="18"/>
      <c r="W6" s="18"/>
    </row>
    <row r="7" spans="2:23" ht="18.75" x14ac:dyDescent="0.25">
      <c r="B7" s="46" t="s">
        <v>138</v>
      </c>
      <c r="C7" s="69">
        <v>0</v>
      </c>
      <c r="D7" s="287" t="s">
        <v>22</v>
      </c>
      <c r="E7" s="288"/>
      <c r="F7" s="288"/>
      <c r="G7" s="288"/>
      <c r="H7" s="289"/>
      <c r="J7" s="161"/>
      <c r="K7" s="18"/>
      <c r="L7" s="18"/>
      <c r="M7" s="18"/>
      <c r="N7" s="18"/>
      <c r="O7" s="25"/>
      <c r="P7" s="18"/>
      <c r="Q7" s="174"/>
      <c r="R7" s="18"/>
      <c r="S7" s="18"/>
      <c r="T7" s="18"/>
      <c r="U7" s="18"/>
      <c r="V7" s="18"/>
      <c r="W7" s="18"/>
    </row>
    <row r="8" spans="2:23" ht="35.1" customHeight="1" x14ac:dyDescent="0.25">
      <c r="B8" s="46" t="s">
        <v>139</v>
      </c>
      <c r="C8" s="69" t="s">
        <v>46</v>
      </c>
      <c r="D8" s="330"/>
      <c r="E8" s="331"/>
      <c r="F8" s="331"/>
      <c r="G8" s="331"/>
      <c r="H8" s="332"/>
      <c r="J8" s="251" t="s">
        <v>95</v>
      </c>
      <c r="K8" s="252"/>
      <c r="L8" s="252"/>
      <c r="M8" s="252"/>
      <c r="N8" s="74"/>
      <c r="O8" s="82"/>
      <c r="P8" s="18"/>
      <c r="Q8" s="157"/>
      <c r="T8" s="22"/>
    </row>
    <row r="9" spans="2:23" ht="35.1" customHeight="1" x14ac:dyDescent="0.25">
      <c r="B9" s="47" t="s">
        <v>140</v>
      </c>
      <c r="C9" s="67" t="s">
        <v>102</v>
      </c>
      <c r="D9" s="317"/>
      <c r="E9" s="318"/>
      <c r="F9" s="318"/>
      <c r="G9" s="318"/>
      <c r="H9" s="319"/>
      <c r="J9" s="52" t="s">
        <v>0</v>
      </c>
      <c r="K9" s="80" t="s">
        <v>1</v>
      </c>
      <c r="L9" s="80" t="s">
        <v>16</v>
      </c>
      <c r="M9" s="80" t="s">
        <v>18</v>
      </c>
      <c r="N9" s="175" t="s">
        <v>118</v>
      </c>
      <c r="O9" s="88" t="s">
        <v>45</v>
      </c>
      <c r="P9" s="18"/>
      <c r="T9" s="176"/>
    </row>
    <row r="10" spans="2:23" ht="35.1" customHeight="1" x14ac:dyDescent="0.3">
      <c r="B10" s="85" t="s">
        <v>141</v>
      </c>
      <c r="C10" s="69">
        <v>1</v>
      </c>
      <c r="D10" s="327" t="s">
        <v>106</v>
      </c>
      <c r="E10" s="328"/>
      <c r="F10" s="328"/>
      <c r="G10" s="328"/>
      <c r="H10" s="329"/>
      <c r="J10" s="167" t="s">
        <v>2</v>
      </c>
      <c r="K10" s="147" t="s">
        <v>3</v>
      </c>
      <c r="L10" s="162">
        <f>K6</f>
        <v>-45</v>
      </c>
      <c r="M10" s="104">
        <f>IF(AND(C6&gt;0,C9=Q18),4,IF(AND(C6&gt;0,OR(C9=Q16,C9=Q17,C9=Q19)),C10*2,0))</f>
        <v>0</v>
      </c>
      <c r="N10" s="104"/>
      <c r="O10" s="209">
        <f>IF(L10&gt;2650,M10,M10/2)</f>
        <v>0</v>
      </c>
      <c r="P10" s="18"/>
      <c r="T10" s="224">
        <v>0.69</v>
      </c>
      <c r="U10" s="156">
        <f>L10*M10*T10/1000</f>
        <v>0</v>
      </c>
    </row>
    <row r="11" spans="2:23" ht="35.1" customHeight="1" thickBot="1" x14ac:dyDescent="0.3">
      <c r="B11" s="164" t="s">
        <v>158</v>
      </c>
      <c r="C11" s="219" t="s">
        <v>90</v>
      </c>
      <c r="D11" s="293" t="s">
        <v>193</v>
      </c>
      <c r="E11" s="293"/>
      <c r="F11" s="293"/>
      <c r="G11" s="293"/>
      <c r="H11" s="294"/>
      <c r="J11" s="167" t="s">
        <v>4</v>
      </c>
      <c r="K11" s="147" t="s">
        <v>5</v>
      </c>
      <c r="L11" s="162">
        <f>K5-78</f>
        <v>-78</v>
      </c>
      <c r="M11" s="104">
        <f>IF(AND(C6&gt;0,C9=Q18),2,IF(AND(C6&gt;0,OR(C9=Q16,C9=Q17,C9=Q19)),C10,0))</f>
        <v>0</v>
      </c>
      <c r="N11" s="177">
        <f>L11*M11</f>
        <v>0</v>
      </c>
      <c r="O11" s="209">
        <f>CEILING((L11*M11)/5000,1)</f>
        <v>0</v>
      </c>
      <c r="P11" s="18"/>
      <c r="Q11" s="115" t="s">
        <v>19</v>
      </c>
      <c r="T11" s="18">
        <v>0.47399999999999998</v>
      </c>
      <c r="U11" s="156">
        <f t="shared" ref="U11:U17" si="0">L11*M11*T11/1000</f>
        <v>0</v>
      </c>
    </row>
    <row r="12" spans="2:23" ht="15.75" x14ac:dyDescent="0.25">
      <c r="J12" s="167" t="s">
        <v>6</v>
      </c>
      <c r="K12" s="147" t="s">
        <v>7</v>
      </c>
      <c r="L12" s="162">
        <f>K5-78</f>
        <v>-78</v>
      </c>
      <c r="M12" s="104">
        <f>IF(AND(C6&gt;0,C9=Q18),2,IF(AND(C6&gt;0,OR(C9=Q16,C9=Q17,C9=Q19)),C10,0))</f>
        <v>0</v>
      </c>
      <c r="N12" s="177">
        <f t="shared" ref="N12:N17" si="1">L12*M12</f>
        <v>0</v>
      </c>
      <c r="O12" s="209">
        <f>CEILING((L12*M12)/5000,1)</f>
        <v>0</v>
      </c>
      <c r="P12" s="18"/>
      <c r="Q12" s="115" t="s">
        <v>20</v>
      </c>
      <c r="T12" s="18">
        <v>0.379</v>
      </c>
      <c r="U12" s="156">
        <f t="shared" si="0"/>
        <v>0</v>
      </c>
    </row>
    <row r="13" spans="2:23" ht="15.75" x14ac:dyDescent="0.25">
      <c r="B13" s="252" t="s">
        <v>41</v>
      </c>
      <c r="C13" s="252"/>
      <c r="D13" s="252"/>
      <c r="E13" s="252"/>
      <c r="F13" s="252"/>
      <c r="G13" s="252"/>
      <c r="H13" s="252"/>
      <c r="J13" s="167" t="s">
        <v>8</v>
      </c>
      <c r="K13" s="147" t="s">
        <v>9</v>
      </c>
      <c r="L13" s="162">
        <f>IF(C7&gt;0,K5-78,0)</f>
        <v>0</v>
      </c>
      <c r="M13" s="104">
        <f>IF(AND(C9=Q18,C7&gt;0),C7*2,C7*C10)</f>
        <v>0</v>
      </c>
      <c r="N13" s="177">
        <f t="shared" si="1"/>
        <v>0</v>
      </c>
      <c r="O13" s="209">
        <f>IF(L13="нет",0,CEILING((L13*M13)/5000,1))</f>
        <v>0</v>
      </c>
      <c r="P13" s="18"/>
      <c r="Q13" s="115" t="s">
        <v>21</v>
      </c>
      <c r="R13" s="18"/>
      <c r="S13" s="18"/>
      <c r="T13" s="18">
        <v>0.58499999999999996</v>
      </c>
      <c r="U13" s="156">
        <f t="shared" si="0"/>
        <v>0</v>
      </c>
    </row>
    <row r="14" spans="2:23" ht="15.75" x14ac:dyDescent="0.25">
      <c r="B14" s="253" t="s">
        <v>162</v>
      </c>
      <c r="C14" s="253"/>
      <c r="D14" s="253"/>
      <c r="E14" s="253"/>
      <c r="F14" s="253"/>
      <c r="G14" s="253"/>
      <c r="H14" s="253"/>
      <c r="J14" s="167" t="s">
        <v>11</v>
      </c>
      <c r="K14" s="147" t="s">
        <v>12</v>
      </c>
      <c r="L14" s="162">
        <f>IF(OR(C9=Q16,C9=Q18),K5-120,0)</f>
        <v>-120</v>
      </c>
      <c r="M14" s="104">
        <f>IF(AND(L14&gt;0,C9=Q16),C10,IF(AND(L14&gt;0,C9=Q18),2,0))</f>
        <v>0</v>
      </c>
      <c r="N14" s="325">
        <f>L14*M14+L15*M15</f>
        <v>0</v>
      </c>
      <c r="O14" s="323">
        <f>CEILING((L14*M14+L15*M15)/5000,1)</f>
        <v>0</v>
      </c>
      <c r="P14" s="18"/>
      <c r="Q14" s="18"/>
      <c r="R14" s="18"/>
      <c r="S14" s="18"/>
      <c r="T14" s="18">
        <v>0.80100000000000005</v>
      </c>
      <c r="U14" s="156">
        <f t="shared" si="0"/>
        <v>0</v>
      </c>
    </row>
    <row r="15" spans="2:23" ht="15.75" x14ac:dyDescent="0.25">
      <c r="B15" s="253"/>
      <c r="C15" s="253"/>
      <c r="D15" s="253"/>
      <c r="E15" s="253"/>
      <c r="F15" s="253"/>
      <c r="G15" s="253"/>
      <c r="H15" s="253"/>
      <c r="J15" s="167" t="s">
        <v>11</v>
      </c>
      <c r="K15" s="147" t="s">
        <v>12</v>
      </c>
      <c r="L15" s="162">
        <f>IF(C9=Q18,(C5-K5*2)-120,0)</f>
        <v>0</v>
      </c>
      <c r="M15" s="104">
        <f>IF(L15&gt;0,1,0)</f>
        <v>0</v>
      </c>
      <c r="N15" s="326"/>
      <c r="O15" s="324"/>
      <c r="P15" s="18"/>
      <c r="Q15" s="18"/>
      <c r="R15" s="18"/>
      <c r="S15" s="18"/>
      <c r="T15" s="18">
        <v>0.80100000000000005</v>
      </c>
      <c r="U15" s="156">
        <f t="shared" si="0"/>
        <v>0</v>
      </c>
    </row>
    <row r="16" spans="2:23" ht="15.75" x14ac:dyDescent="0.25">
      <c r="B16" s="253"/>
      <c r="C16" s="253"/>
      <c r="D16" s="253"/>
      <c r="E16" s="253"/>
      <c r="F16" s="253"/>
      <c r="G16" s="253"/>
      <c r="H16" s="253"/>
      <c r="J16" s="167" t="s">
        <v>13</v>
      </c>
      <c r="K16" s="147" t="s">
        <v>211</v>
      </c>
      <c r="L16" s="162">
        <f>IF(OR(C9=Q16,C9=Q18),C5,0)</f>
        <v>0</v>
      </c>
      <c r="M16" s="104">
        <f>IF(C9=Q16,2,IF(C9=Q18,1,0))</f>
        <v>2</v>
      </c>
      <c r="N16" s="177">
        <f t="shared" si="1"/>
        <v>0</v>
      </c>
      <c r="O16" s="209">
        <f>CEILING((L16*M16)/5000,1)</f>
        <v>0</v>
      </c>
      <c r="P16" s="18"/>
      <c r="Q16" s="178" t="s">
        <v>102</v>
      </c>
      <c r="R16" s="18"/>
      <c r="S16" s="18"/>
      <c r="T16" s="18">
        <v>0.25600000000000001</v>
      </c>
      <c r="U16" s="156">
        <f t="shared" si="0"/>
        <v>0</v>
      </c>
    </row>
    <row r="17" spans="2:21" ht="16.5" thickBot="1" x14ac:dyDescent="0.3">
      <c r="J17" s="167" t="s">
        <v>14</v>
      </c>
      <c r="K17" s="147" t="s">
        <v>15</v>
      </c>
      <c r="L17" s="162">
        <f>IF(OR(C9=Q18,C9=Q16,C9=Q17),L11-50,0)</f>
        <v>-128</v>
      </c>
      <c r="M17" s="104">
        <f>IF(OR(C9=Q16,C9=Q17),C10,IF(C9=Q18,2,0))</f>
        <v>1</v>
      </c>
      <c r="N17" s="177">
        <f t="shared" si="1"/>
        <v>-128</v>
      </c>
      <c r="O17" s="209">
        <f>CEILING((L17*M17)/5400,1)</f>
        <v>0</v>
      </c>
      <c r="P17" s="18"/>
      <c r="Q17" s="178" t="s">
        <v>104</v>
      </c>
      <c r="R17" s="18"/>
      <c r="S17" s="18"/>
      <c r="T17" s="18">
        <v>0.14599999999999999</v>
      </c>
      <c r="U17" s="156">
        <f t="shared" si="0"/>
        <v>-1.8688E-2</v>
      </c>
    </row>
    <row r="18" spans="2:21" ht="19.5" thickBot="1" x14ac:dyDescent="0.3">
      <c r="B18" s="105" t="s">
        <v>163</v>
      </c>
      <c r="C18" s="106"/>
      <c r="D18" s="106"/>
      <c r="E18" s="106"/>
      <c r="F18" s="106"/>
      <c r="G18" s="106"/>
      <c r="H18" s="106"/>
      <c r="J18" s="207"/>
      <c r="K18" s="204"/>
      <c r="L18" s="204"/>
      <c r="M18" s="204"/>
      <c r="N18" s="204"/>
      <c r="O18" s="208"/>
      <c r="P18" s="18"/>
      <c r="Q18" s="179" t="s">
        <v>105</v>
      </c>
      <c r="R18" s="18"/>
      <c r="S18" s="18"/>
      <c r="T18" s="18"/>
      <c r="U18" s="233">
        <f>SUM(U10:U17)</f>
        <v>-1.8688E-2</v>
      </c>
    </row>
    <row r="19" spans="2:21" ht="19.5" thickBot="1" x14ac:dyDescent="0.3">
      <c r="B19" s="107"/>
      <c r="C19" s="108"/>
      <c r="D19" s="108"/>
      <c r="E19" s="108"/>
      <c r="F19" s="108"/>
      <c r="G19" s="108"/>
      <c r="H19" s="109"/>
      <c r="J19" s="73"/>
      <c r="K19" s="74"/>
      <c r="L19" s="74"/>
      <c r="M19" s="74"/>
      <c r="N19" s="74"/>
      <c r="O19" s="82"/>
      <c r="P19" s="18"/>
      <c r="Q19" s="180" t="s">
        <v>103</v>
      </c>
      <c r="R19" s="18"/>
      <c r="S19" s="18"/>
      <c r="T19" s="18"/>
    </row>
    <row r="20" spans="2:21" ht="19.5" thickBot="1" x14ac:dyDescent="0.35">
      <c r="B20" s="110" t="s">
        <v>122</v>
      </c>
      <c r="C20" s="111">
        <f>C7+1</f>
        <v>1</v>
      </c>
      <c r="D20" s="149"/>
      <c r="E20" s="150"/>
      <c r="F20" s="150"/>
      <c r="G20" s="150"/>
      <c r="H20" s="114"/>
      <c r="I20" s="127"/>
      <c r="J20" s="165"/>
      <c r="K20" s="21"/>
      <c r="L20" s="21"/>
      <c r="M20" s="18"/>
      <c r="N20" s="18"/>
      <c r="O20" s="181"/>
      <c r="P20" s="18"/>
      <c r="Q20" s="18"/>
      <c r="R20" s="18"/>
      <c r="S20" s="18"/>
      <c r="T20" s="18"/>
    </row>
    <row r="21" spans="2:21" ht="18.75" x14ac:dyDescent="0.25">
      <c r="B21" s="116"/>
      <c r="C21" s="117"/>
      <c r="D21" s="117"/>
      <c r="E21" s="117"/>
      <c r="F21" s="117"/>
      <c r="G21" s="117"/>
      <c r="H21" s="118"/>
      <c r="I21" s="127"/>
      <c r="J21" s="182"/>
      <c r="K21" s="51"/>
      <c r="L21" s="50"/>
      <c r="M21" s="18"/>
      <c r="N21" s="18"/>
      <c r="O21" s="166"/>
      <c r="P21" s="18"/>
      <c r="Q21" s="18"/>
      <c r="R21" s="18"/>
      <c r="S21" s="18"/>
      <c r="T21" s="18"/>
    </row>
    <row r="22" spans="2:21" ht="18.75" x14ac:dyDescent="0.25">
      <c r="B22" s="116"/>
      <c r="C22" s="117"/>
      <c r="D22" s="117"/>
      <c r="E22" s="117"/>
      <c r="F22" s="117"/>
      <c r="G22" s="117"/>
      <c r="H22" s="118"/>
      <c r="I22" s="127"/>
      <c r="J22" s="251" t="s">
        <v>28</v>
      </c>
      <c r="K22" s="252"/>
      <c r="L22" s="252"/>
      <c r="M22" s="74"/>
      <c r="N22" s="18"/>
      <c r="O22" s="166"/>
      <c r="P22" s="18"/>
      <c r="Q22" s="18"/>
      <c r="R22" s="18"/>
      <c r="S22" s="18"/>
      <c r="T22" s="18"/>
    </row>
    <row r="23" spans="2:21" ht="18.75" x14ac:dyDescent="0.25">
      <c r="B23" s="119" t="s">
        <v>123</v>
      </c>
      <c r="C23" s="120" t="s">
        <v>124</v>
      </c>
      <c r="D23" s="121" t="s">
        <v>87</v>
      </c>
      <c r="E23" s="120" t="s">
        <v>125</v>
      </c>
      <c r="F23" s="120" t="s">
        <v>126</v>
      </c>
      <c r="G23" s="120" t="s">
        <v>145</v>
      </c>
      <c r="H23" s="122" t="s">
        <v>146</v>
      </c>
      <c r="J23" s="305" t="s">
        <v>0</v>
      </c>
      <c r="K23" s="269"/>
      <c r="L23" s="269"/>
      <c r="M23" s="80" t="s">
        <v>1</v>
      </c>
      <c r="N23" s="80" t="s">
        <v>17</v>
      </c>
      <c r="O23" s="200"/>
      <c r="P23" s="18"/>
      <c r="Q23" s="77" t="s">
        <v>46</v>
      </c>
      <c r="R23" s="18"/>
      <c r="S23" s="18"/>
      <c r="T23" s="18"/>
    </row>
    <row r="24" spans="2:21" ht="18.75" x14ac:dyDescent="0.25">
      <c r="B24" s="123" t="s">
        <v>127</v>
      </c>
      <c r="C24" s="35" t="s">
        <v>21</v>
      </c>
      <c r="D24" s="146">
        <v>450</v>
      </c>
      <c r="E24" s="36">
        <f>K6-IF(E28=0,0,IF(C28=Q11,E28,IF(C28=Q12,E28+2,E28+3)))-IF(E27=0,0,IF(C27=Q11,E27,IF(C27=Q12,E27+2,E27+3)))-IF(E26=0,0,IF(C26=Q11,E26,IF(C26=Q12,E26+2,E26+3)))-IF(E25=0,0,IF(C25=Q11,E25,IF(C25=Q12,E25+2,E25+3)))-44-IF(C24=Q12,2,IF(C24=Q13,3,0))-C7*8</f>
        <v>-92</v>
      </c>
      <c r="F24" s="124">
        <f>IF(C24=$Q$13,$K$5-63,IF(C24=$Q$12,$K$5-62,$K$5-60))</f>
        <v>-63</v>
      </c>
      <c r="G24" s="125">
        <f>IF(C9=Q18,2,$C$10)</f>
        <v>1</v>
      </c>
      <c r="H24" s="126">
        <f>E24*F24*D24*G24/1000000</f>
        <v>2.6082000000000001</v>
      </c>
      <c r="I24" s="127">
        <f>IF(E24&lt;&gt;0,1,0)</f>
        <v>1</v>
      </c>
      <c r="J24" s="311" t="s">
        <v>61</v>
      </c>
      <c r="K24" s="312"/>
      <c r="L24" s="312"/>
      <c r="M24" s="147" t="s">
        <v>62</v>
      </c>
      <c r="N24" s="63">
        <f>CEILING(IF(OR(C9=Q16,C9=Q17),0.5*C10,IF(C9=Q18,1,C10)),1)</f>
        <v>1</v>
      </c>
      <c r="O24" s="212"/>
      <c r="P24" s="18"/>
      <c r="Q24" s="77" t="s">
        <v>151</v>
      </c>
      <c r="R24" s="18"/>
      <c r="S24" s="18"/>
      <c r="T24" s="18"/>
      <c r="U24" s="156">
        <f>IF(C24=$Q$11,(E24*F24/1000000)*8,IF(C24=$Q$12,(E24*F24/1000000)*6.5,(E24*F24/1000000)*11))</f>
        <v>6.3755999999999993E-2</v>
      </c>
    </row>
    <row r="25" spans="2:21" ht="18.75" x14ac:dyDescent="0.25">
      <c r="B25" s="123" t="s">
        <v>128</v>
      </c>
      <c r="C25" s="35" t="s">
        <v>19</v>
      </c>
      <c r="D25" s="146">
        <v>450</v>
      </c>
      <c r="E25" s="37">
        <v>0</v>
      </c>
      <c r="F25" s="124">
        <f>IF(C25=$Q$13,$K$5-63,IF(C25=$Q$12,$K$5-62,$K$5-60))</f>
        <v>-60</v>
      </c>
      <c r="G25" s="125">
        <f>IF(E25=0,0,IF($C$9=$Q$18,2,$C$10))</f>
        <v>0</v>
      </c>
      <c r="H25" s="126">
        <f t="shared" ref="H25:H28" si="2">E25*F25*D25*G25/1000000</f>
        <v>0</v>
      </c>
      <c r="I25" s="127">
        <f>IF(E25&lt;&gt;0,1,0)</f>
        <v>0</v>
      </c>
      <c r="J25" s="311" t="s">
        <v>91</v>
      </c>
      <c r="K25" s="312"/>
      <c r="L25" s="312"/>
      <c r="M25" s="76" t="s">
        <v>165</v>
      </c>
      <c r="N25" s="63">
        <f>M11*2+M12*2+M13*2</f>
        <v>0</v>
      </c>
      <c r="O25" s="212"/>
      <c r="P25" s="18"/>
      <c r="Q25" s="77" t="s">
        <v>152</v>
      </c>
      <c r="R25" s="18"/>
      <c r="S25" s="18"/>
      <c r="T25" s="18"/>
      <c r="U25" s="156">
        <f t="shared" ref="U25:U28" si="3">IF(G34=$R$9,(I34*J34/1000000)*8,IF(G34=$R$10,(I34*J34/1000000)*6.5,(I34*J34/1000000)*11))</f>
        <v>0</v>
      </c>
    </row>
    <row r="26" spans="2:21" ht="18.75" x14ac:dyDescent="0.25">
      <c r="B26" s="123" t="s">
        <v>129</v>
      </c>
      <c r="C26" s="35" t="s">
        <v>19</v>
      </c>
      <c r="D26" s="146">
        <v>450</v>
      </c>
      <c r="E26" s="37">
        <v>0</v>
      </c>
      <c r="F26" s="124">
        <f>IF(C26=$Q$13,$K$5-63,IF(C26=$Q$12,$K$5-62,$K$5-60))</f>
        <v>-60</v>
      </c>
      <c r="G26" s="125">
        <f>IF(E26=0,0,IF($C$9=$Q$18,2,$C$10))</f>
        <v>0</v>
      </c>
      <c r="H26" s="126">
        <f t="shared" si="2"/>
        <v>0</v>
      </c>
      <c r="I26" s="127">
        <f>IF(E26&lt;&gt;0,1,0)</f>
        <v>0</v>
      </c>
      <c r="J26" s="311" t="s">
        <v>92</v>
      </c>
      <c r="K26" s="312"/>
      <c r="L26" s="312"/>
      <c r="M26" s="75" t="s">
        <v>167</v>
      </c>
      <c r="N26" s="130">
        <f>ROUNDUP((IF(C24=Q12,(E24+F24)*2*G24,0)+IF(C25=Q12,(E25+F25)*2*G25,0)+IF(C26=Q12,(E26+F26)*2*G26,0)+IF(C27=Q12,(E27+F27)*2*G27,0)+IF(C28=Q12,(E28+F28)*2*G28,0))/1000,0)</f>
        <v>0</v>
      </c>
      <c r="O26" s="212"/>
      <c r="P26" s="18"/>
      <c r="Q26" s="77" t="s">
        <v>47</v>
      </c>
      <c r="R26" s="18"/>
      <c r="S26" s="18"/>
      <c r="T26" s="18"/>
      <c r="U26" s="156">
        <f t="shared" si="3"/>
        <v>0</v>
      </c>
    </row>
    <row r="27" spans="2:21" ht="18.75" x14ac:dyDescent="0.25">
      <c r="B27" s="123" t="s">
        <v>130</v>
      </c>
      <c r="C27" s="35" t="s">
        <v>19</v>
      </c>
      <c r="D27" s="146">
        <v>450</v>
      </c>
      <c r="E27" s="37">
        <v>0</v>
      </c>
      <c r="F27" s="124">
        <f>IF(C27=$Q$13,$K$5-63,IF(C27=$Q$12,$K$5-62,$K$5-60))</f>
        <v>-60</v>
      </c>
      <c r="G27" s="125">
        <f>IF(E27=0,0,IF($C$9=$Q$18,2,$C$10))</f>
        <v>0</v>
      </c>
      <c r="H27" s="126">
        <f t="shared" si="2"/>
        <v>0</v>
      </c>
      <c r="I27" s="127">
        <f>IF(E27&lt;&gt;0,1,0)</f>
        <v>0</v>
      </c>
      <c r="J27" s="313" t="s">
        <v>93</v>
      </c>
      <c r="K27" s="314"/>
      <c r="L27" s="314"/>
      <c r="M27" s="75" t="s">
        <v>168</v>
      </c>
      <c r="N27" s="130">
        <f>ROUNDUP((IF(C24=Q13,(E24+F24)*2*G24,0)+IF(C25=Q13,(E25+F25)*2*G25,0)+IF(C26=Q13,(E26+F26)*2*G26,0)+IF(C27=Q13,(E27+F27)*2*G27,0)+IF(C28=Q13,(E28+F28)*2*G28,0))/1000,0)</f>
        <v>-1</v>
      </c>
      <c r="O27" s="213"/>
      <c r="P27" s="18"/>
      <c r="Q27" s="77" t="s">
        <v>48</v>
      </c>
      <c r="R27" s="18"/>
      <c r="S27" s="18"/>
      <c r="T27" s="18"/>
      <c r="U27" s="156">
        <f t="shared" si="3"/>
        <v>0</v>
      </c>
    </row>
    <row r="28" spans="2:21" ht="19.5" thickBot="1" x14ac:dyDescent="0.3">
      <c r="B28" s="132" t="s">
        <v>131</v>
      </c>
      <c r="C28" s="35" t="s">
        <v>19</v>
      </c>
      <c r="D28" s="146">
        <v>450</v>
      </c>
      <c r="E28" s="37">
        <v>0</v>
      </c>
      <c r="F28" s="124">
        <f>IF(C28=$Q$13,$K$5-63,IF(C28=$Q$12,$K$5-62,$K$5-60))</f>
        <v>-60</v>
      </c>
      <c r="G28" s="125">
        <f>IF(E28=0,0,IF($C$9=$Q$18,2,$C$10))</f>
        <v>0</v>
      </c>
      <c r="H28" s="126">
        <f t="shared" si="2"/>
        <v>0</v>
      </c>
      <c r="I28" s="127">
        <f>IF(E28&lt;&gt;0,1,0)</f>
        <v>0</v>
      </c>
      <c r="J28" s="311" t="s">
        <v>90</v>
      </c>
      <c r="K28" s="312"/>
      <c r="L28" s="312"/>
      <c r="M28" s="75" t="s">
        <v>169</v>
      </c>
      <c r="N28" s="63">
        <f>IF(C11=Q38,N25,0)</f>
        <v>0</v>
      </c>
      <c r="O28" s="212"/>
      <c r="P28" s="18"/>
      <c r="Q28" s="18"/>
      <c r="R28" s="18"/>
      <c r="S28" s="18"/>
      <c r="T28" s="18"/>
      <c r="U28" s="156">
        <f t="shared" si="3"/>
        <v>0</v>
      </c>
    </row>
    <row r="29" spans="2:21" ht="23.25" thickBot="1" x14ac:dyDescent="0.3">
      <c r="B29" s="116"/>
      <c r="C29" s="117"/>
      <c r="D29" s="117"/>
      <c r="E29" s="267" t="s">
        <v>88</v>
      </c>
      <c r="F29" s="267"/>
      <c r="G29" s="268"/>
      <c r="H29" s="133">
        <f>SUM(H24:H28)</f>
        <v>2.6082000000000001</v>
      </c>
      <c r="J29" s="299" t="s">
        <v>184</v>
      </c>
      <c r="K29" s="300"/>
      <c r="L29" s="300"/>
      <c r="M29" s="44" t="s">
        <v>183</v>
      </c>
      <c r="N29" s="55">
        <f>IF(C11=Q39,N25,0)</f>
        <v>0</v>
      </c>
      <c r="O29" s="201"/>
      <c r="P29" s="18"/>
      <c r="Q29" s="18"/>
      <c r="R29" s="18"/>
      <c r="S29" s="18"/>
      <c r="T29" s="18"/>
      <c r="U29" s="230">
        <f>SUM(U24:U28)</f>
        <v>6.3755999999999993E-2</v>
      </c>
    </row>
    <row r="30" spans="2:21" ht="18.75" x14ac:dyDescent="0.25">
      <c r="B30" s="116"/>
      <c r="C30" s="308" t="str">
        <f>IF((SUM(I24:I28)/C20)&lt;&gt;1,Q54,Q55)</f>
        <v>Верно внесены высоты вставок</v>
      </c>
      <c r="D30" s="309"/>
      <c r="E30" s="113">
        <f>IF(C30=Q55,1,0)</f>
        <v>1</v>
      </c>
      <c r="F30" s="113"/>
      <c r="G30" s="113"/>
      <c r="H30" s="118"/>
      <c r="J30" s="301" t="s">
        <v>83</v>
      </c>
      <c r="K30" s="302"/>
      <c r="L30" s="302"/>
      <c r="M30" s="76" t="s">
        <v>84</v>
      </c>
      <c r="N30" s="136">
        <f>IF(C11=Q41,ROUNDUP(L10*M10/1000,0),0)</f>
        <v>0</v>
      </c>
      <c r="O30" s="201"/>
      <c r="P30" s="18"/>
      <c r="Q30" s="18"/>
      <c r="R30" s="18"/>
      <c r="S30" s="18"/>
      <c r="T30" s="18"/>
      <c r="U30" s="156"/>
    </row>
    <row r="31" spans="2:21" ht="18.75" x14ac:dyDescent="0.25">
      <c r="B31" s="116"/>
      <c r="C31" s="117"/>
      <c r="D31" s="117"/>
      <c r="E31" s="117"/>
      <c r="F31" s="117"/>
      <c r="G31" s="117"/>
      <c r="H31" s="118"/>
      <c r="J31" s="301" t="s">
        <v>147</v>
      </c>
      <c r="K31" s="302"/>
      <c r="L31" s="302"/>
      <c r="M31" s="169" t="s">
        <v>174</v>
      </c>
      <c r="N31" s="136">
        <f>IF(C11=Q40,ROUNDUP(L10*M10/1000,0),0)</f>
        <v>0</v>
      </c>
      <c r="O31" s="201"/>
      <c r="P31" s="18"/>
      <c r="Q31" s="81">
        <v>0</v>
      </c>
      <c r="R31" s="18"/>
      <c r="S31" s="18"/>
      <c r="T31" s="18"/>
      <c r="U31" s="156"/>
    </row>
    <row r="32" spans="2:21" ht="19.5" thickBot="1" x14ac:dyDescent="0.3">
      <c r="B32" s="116"/>
      <c r="C32" s="137"/>
      <c r="D32" s="137"/>
      <c r="E32" s="138"/>
      <c r="F32" s="138"/>
      <c r="G32" s="138"/>
      <c r="H32" s="118"/>
      <c r="J32" s="301" t="s">
        <v>170</v>
      </c>
      <c r="K32" s="302"/>
      <c r="L32" s="302"/>
      <c r="M32" s="76" t="s">
        <v>171</v>
      </c>
      <c r="N32" s="61">
        <f>IF(N31&gt;0,M10*2,0)</f>
        <v>0</v>
      </c>
      <c r="O32" s="201"/>
      <c r="P32" s="18"/>
      <c r="Q32" s="81">
        <v>1</v>
      </c>
      <c r="R32" s="18"/>
      <c r="S32" s="18"/>
      <c r="T32" s="18"/>
      <c r="U32" s="156"/>
    </row>
    <row r="33" spans="2:21" ht="19.5" thickBot="1" x14ac:dyDescent="0.3">
      <c r="B33" s="116"/>
      <c r="C33" s="117"/>
      <c r="D33" s="117"/>
      <c r="E33" s="117"/>
      <c r="F33" s="117"/>
      <c r="G33" s="117"/>
      <c r="H33" s="25"/>
      <c r="J33" s="161"/>
      <c r="K33" s="152"/>
      <c r="L33" s="19"/>
      <c r="M33" s="19"/>
      <c r="N33" s="19"/>
      <c r="O33" s="201"/>
      <c r="P33" s="18"/>
      <c r="Q33" s="81">
        <v>2</v>
      </c>
      <c r="R33" s="18"/>
      <c r="S33" s="18"/>
      <c r="T33" s="18"/>
      <c r="U33" s="231">
        <f>(U18+U29)*1.05</f>
        <v>4.73214E-2</v>
      </c>
    </row>
    <row r="34" spans="2:21" ht="19.5" thickBot="1" x14ac:dyDescent="0.3">
      <c r="B34" s="116"/>
      <c r="C34" s="304" t="str">
        <f>IF(AND(SUM(I24:I28)/C20=1,E28=0,C20&lt;&gt;1),Q58,Q59)</f>
        <v xml:space="preserve"> </v>
      </c>
      <c r="D34" s="304"/>
      <c r="E34" s="138"/>
      <c r="F34" s="138"/>
      <c r="G34" s="188" t="s">
        <v>210</v>
      </c>
      <c r="H34" s="232">
        <f>ROUNDUP(U33,0)</f>
        <v>1</v>
      </c>
      <c r="J34" s="161"/>
      <c r="K34" s="152"/>
      <c r="L34" s="18"/>
      <c r="M34" s="18"/>
      <c r="N34" s="18"/>
      <c r="O34" s="201"/>
      <c r="P34" s="18"/>
      <c r="Q34" s="81">
        <v>3</v>
      </c>
      <c r="R34" s="18"/>
      <c r="S34" s="18"/>
      <c r="T34" s="18"/>
    </row>
    <row r="35" spans="2:21" ht="18.75" x14ac:dyDescent="0.25">
      <c r="B35" s="116"/>
      <c r="C35" s="117"/>
      <c r="D35" s="117"/>
      <c r="E35" s="117"/>
      <c r="F35" s="117"/>
      <c r="G35" s="117"/>
      <c r="H35" s="25"/>
      <c r="J35" s="161"/>
      <c r="K35" s="152"/>
      <c r="L35" s="51"/>
      <c r="M35" s="51"/>
      <c r="N35" s="153"/>
      <c r="O35" s="129"/>
      <c r="P35" s="18"/>
      <c r="Q35" s="81">
        <v>4</v>
      </c>
      <c r="R35" s="18"/>
      <c r="S35" s="18"/>
      <c r="T35" s="18"/>
    </row>
    <row r="36" spans="2:21" ht="18.75" x14ac:dyDescent="0.25">
      <c r="B36" s="116"/>
      <c r="C36" s="117"/>
      <c r="D36" s="117"/>
      <c r="E36" s="117"/>
      <c r="F36" s="117"/>
      <c r="G36" s="117"/>
      <c r="H36" s="25"/>
      <c r="J36" s="161"/>
      <c r="K36" s="18"/>
      <c r="L36" s="18"/>
      <c r="M36" s="18"/>
      <c r="N36" s="18"/>
      <c r="O36" s="25"/>
      <c r="P36" s="18"/>
      <c r="Q36" s="18"/>
      <c r="R36" s="18"/>
      <c r="S36" s="18"/>
      <c r="T36" s="18"/>
    </row>
    <row r="37" spans="2:21" ht="18.75" x14ac:dyDescent="0.3">
      <c r="B37" s="139"/>
      <c r="C37" s="140"/>
      <c r="D37" s="113"/>
      <c r="E37" s="113"/>
      <c r="F37" s="113"/>
      <c r="G37" s="113"/>
      <c r="H37" s="25"/>
      <c r="J37" s="161"/>
      <c r="K37" s="18"/>
      <c r="L37" s="18"/>
      <c r="M37" s="18"/>
      <c r="N37" s="18"/>
      <c r="O37" s="25"/>
      <c r="P37" s="18"/>
      <c r="Q37" s="18"/>
      <c r="R37" s="18"/>
      <c r="S37" s="18"/>
      <c r="T37" s="18"/>
    </row>
    <row r="38" spans="2:21" x14ac:dyDescent="0.25">
      <c r="B38" s="26"/>
      <c r="C38" s="19"/>
      <c r="D38" s="19"/>
      <c r="E38" s="19"/>
      <c r="F38" s="19"/>
      <c r="G38" s="19"/>
      <c r="H38" s="27"/>
      <c r="J38" s="161"/>
      <c r="K38" s="18"/>
      <c r="L38" s="18"/>
      <c r="M38" s="18"/>
      <c r="N38" s="18"/>
      <c r="O38" s="25"/>
      <c r="P38" s="18"/>
      <c r="Q38" s="12" t="s">
        <v>90</v>
      </c>
      <c r="R38" s="18"/>
      <c r="S38" s="18"/>
      <c r="T38" s="18"/>
    </row>
    <row r="39" spans="2:21" ht="18.75" x14ac:dyDescent="0.3">
      <c r="B39" s="139"/>
      <c r="C39" s="140"/>
      <c r="D39" s="113"/>
      <c r="E39" s="113"/>
      <c r="F39" s="113"/>
      <c r="G39" s="113"/>
      <c r="H39" s="114"/>
      <c r="J39" s="161"/>
      <c r="K39" s="18"/>
      <c r="L39" s="18"/>
      <c r="M39" s="18"/>
      <c r="N39" s="18"/>
      <c r="O39" s="25"/>
      <c r="P39" s="18"/>
      <c r="Q39" s="135" t="s">
        <v>159</v>
      </c>
      <c r="R39" s="18"/>
      <c r="S39" s="18"/>
      <c r="T39" s="18"/>
    </row>
    <row r="40" spans="2:21" ht="18.75" x14ac:dyDescent="0.3">
      <c r="B40" s="139"/>
      <c r="C40" s="140"/>
      <c r="D40" s="113"/>
      <c r="E40" s="113"/>
      <c r="F40" s="113"/>
      <c r="G40" s="113"/>
      <c r="H40" s="114"/>
      <c r="J40" s="161"/>
      <c r="K40" s="152"/>
      <c r="L40" s="51"/>
      <c r="M40" s="51"/>
      <c r="N40" s="153"/>
      <c r="O40" s="129"/>
      <c r="P40" s="18"/>
      <c r="Q40" s="135" t="s">
        <v>147</v>
      </c>
      <c r="R40" s="18"/>
      <c r="S40" s="18"/>
      <c r="T40" s="18"/>
    </row>
    <row r="41" spans="2:21" ht="18.75" x14ac:dyDescent="0.3">
      <c r="B41" s="139"/>
      <c r="C41" s="140"/>
      <c r="D41" s="113"/>
      <c r="E41" s="113"/>
      <c r="F41" s="113"/>
      <c r="G41" s="113"/>
      <c r="H41" s="114"/>
      <c r="J41" s="161"/>
      <c r="K41" s="152"/>
      <c r="L41" s="51"/>
      <c r="M41" s="51"/>
      <c r="N41" s="153"/>
      <c r="O41" s="129"/>
      <c r="P41" s="18"/>
      <c r="Q41" s="12" t="s">
        <v>83</v>
      </c>
      <c r="R41" s="18"/>
      <c r="S41" s="18"/>
      <c r="T41" s="18"/>
    </row>
    <row r="42" spans="2:21" ht="19.5" thickBot="1" x14ac:dyDescent="0.35">
      <c r="B42" s="142"/>
      <c r="C42" s="143"/>
      <c r="D42" s="144"/>
      <c r="E42" s="144"/>
      <c r="F42" s="144"/>
      <c r="G42" s="144"/>
      <c r="H42" s="145"/>
      <c r="J42" s="170"/>
      <c r="K42" s="183"/>
      <c r="L42" s="184"/>
      <c r="M42" s="184"/>
      <c r="N42" s="185"/>
      <c r="O42" s="218"/>
      <c r="P42" s="18"/>
      <c r="Q42" s="18"/>
      <c r="R42" s="18"/>
      <c r="S42" s="18"/>
      <c r="T42" s="18"/>
    </row>
    <row r="43" spans="2:21" x14ac:dyDescent="0.25">
      <c r="J43" s="14"/>
      <c r="K43" s="14"/>
      <c r="L43" s="14"/>
      <c r="M43" s="14"/>
      <c r="N43" s="14"/>
      <c r="O43" s="128"/>
      <c r="P43" s="18"/>
      <c r="Q43" s="18"/>
      <c r="R43" s="18"/>
      <c r="S43" s="18"/>
      <c r="T43" s="18"/>
    </row>
    <row r="44" spans="2:21" x14ac:dyDescent="0.25">
      <c r="P44" s="18"/>
      <c r="Q44" s="18"/>
      <c r="R44" s="18"/>
      <c r="S44" s="18"/>
      <c r="T44" s="18"/>
    </row>
    <row r="45" spans="2:21" x14ac:dyDescent="0.25">
      <c r="P45" s="18"/>
      <c r="Q45" s="18"/>
      <c r="R45" s="18"/>
      <c r="S45" s="18"/>
      <c r="T45" s="18"/>
    </row>
    <row r="46" spans="2:21" x14ac:dyDescent="0.25">
      <c r="P46" s="18"/>
      <c r="Q46" s="91" t="s">
        <v>209</v>
      </c>
      <c r="R46" s="18"/>
      <c r="S46" s="18"/>
      <c r="T46" s="18"/>
    </row>
    <row r="47" spans="2:21" x14ac:dyDescent="0.25">
      <c r="Q47" s="91" t="s">
        <v>204</v>
      </c>
      <c r="R47" s="18"/>
      <c r="S47" s="18"/>
      <c r="T47" s="18"/>
    </row>
    <row r="48" spans="2:21" ht="15.75" x14ac:dyDescent="0.25">
      <c r="B48" s="186"/>
      <c r="C48" s="186"/>
      <c r="D48" s="186"/>
      <c r="E48" s="186"/>
      <c r="F48" s="186"/>
      <c r="G48" s="186"/>
      <c r="H48" s="186"/>
      <c r="R48" s="18"/>
      <c r="S48" s="18"/>
      <c r="T48" s="18"/>
    </row>
    <row r="49" spans="2:20" ht="15" customHeight="1" x14ac:dyDescent="0.25">
      <c r="B49" s="187"/>
      <c r="C49" s="187"/>
      <c r="D49" s="187"/>
      <c r="E49" s="187"/>
      <c r="F49" s="187"/>
      <c r="G49" s="187"/>
      <c r="H49" s="187"/>
      <c r="R49" s="18"/>
      <c r="S49" s="18"/>
      <c r="T49" s="18"/>
    </row>
    <row r="50" spans="2:20" ht="15" customHeight="1" x14ac:dyDescent="0.25">
      <c r="B50" s="187"/>
      <c r="C50" s="187"/>
      <c r="D50" s="187"/>
      <c r="E50" s="187"/>
      <c r="F50" s="187"/>
      <c r="G50" s="187"/>
      <c r="H50" s="187"/>
      <c r="Q50" s="12" t="s">
        <v>207</v>
      </c>
      <c r="R50" s="18"/>
      <c r="S50" s="18"/>
      <c r="T50" s="18"/>
    </row>
    <row r="51" spans="2:20" ht="15" customHeight="1" x14ac:dyDescent="0.25">
      <c r="B51" s="187"/>
      <c r="C51" s="187"/>
      <c r="D51" s="187"/>
      <c r="E51" s="187"/>
      <c r="F51" s="187"/>
      <c r="G51" s="187"/>
      <c r="H51" s="187"/>
      <c r="Q51" s="91" t="s">
        <v>204</v>
      </c>
      <c r="R51" s="18"/>
      <c r="S51" s="18"/>
      <c r="T51" s="18"/>
    </row>
    <row r="52" spans="2:20" x14ac:dyDescent="0.25">
      <c r="Q52" s="18"/>
      <c r="R52" s="18"/>
      <c r="S52" s="18"/>
      <c r="T52" s="18"/>
    </row>
    <row r="53" spans="2:20" x14ac:dyDescent="0.25">
      <c r="Q53" s="18"/>
      <c r="R53" s="18"/>
      <c r="S53" s="18"/>
      <c r="T53" s="18"/>
    </row>
    <row r="54" spans="2:20" ht="18.75" x14ac:dyDescent="0.25">
      <c r="Q54" s="131" t="s">
        <v>134</v>
      </c>
      <c r="R54" s="18"/>
      <c r="S54" s="18"/>
      <c r="T54" s="18"/>
    </row>
    <row r="55" spans="2:20" ht="18.75" x14ac:dyDescent="0.25">
      <c r="Q55" s="131" t="s">
        <v>135</v>
      </c>
      <c r="R55" s="18"/>
      <c r="S55" s="18"/>
      <c r="T55" s="18"/>
    </row>
    <row r="56" spans="2:20" x14ac:dyDescent="0.25">
      <c r="Q56" s="18"/>
      <c r="R56" s="18"/>
      <c r="S56" s="18"/>
      <c r="T56" s="18"/>
    </row>
    <row r="57" spans="2:20" x14ac:dyDescent="0.25">
      <c r="Q57" s="18"/>
      <c r="R57" s="18"/>
      <c r="S57" s="18"/>
      <c r="T57" s="18"/>
    </row>
    <row r="58" spans="2:20" ht="18.75" x14ac:dyDescent="0.3">
      <c r="Q58" s="141" t="s">
        <v>144</v>
      </c>
      <c r="R58" s="18"/>
      <c r="S58" s="18"/>
      <c r="T58" s="18"/>
    </row>
    <row r="59" spans="2:20" x14ac:dyDescent="0.25">
      <c r="Q59" s="12" t="s">
        <v>107</v>
      </c>
      <c r="R59" s="18"/>
      <c r="S59" s="18"/>
      <c r="T59" s="18"/>
    </row>
    <row r="60" spans="2:20" x14ac:dyDescent="0.25">
      <c r="Q60" s="18"/>
      <c r="R60" s="18"/>
      <c r="S60" s="18"/>
      <c r="T60" s="18"/>
    </row>
    <row r="61" spans="2:20" x14ac:dyDescent="0.25">
      <c r="Q61" s="18"/>
      <c r="R61" s="18"/>
      <c r="S61" s="18"/>
      <c r="T61" s="18"/>
    </row>
    <row r="62" spans="2:20" x14ac:dyDescent="0.25">
      <c r="Q62" s="18"/>
      <c r="R62" s="18"/>
      <c r="S62" s="18"/>
      <c r="T62" s="18"/>
    </row>
  </sheetData>
  <sheetProtection algorithmName="SHA-512" hashValue="euORhRbRejLuDeMMT8b91FBeRKmcLt+fNJB9+kpGQmAafo7fGiBR+2YtStsdG6IT62Ro4cNcLNYqAcDX7/tNdg==" saltValue="J/0gfRNKbT9w3TMwTdT9VQ==" spinCount="100000" sheet="1" objects="1" scenarios="1" selectLockedCells="1"/>
  <mergeCells count="32">
    <mergeCell ref="J2:O2"/>
    <mergeCell ref="B1:N1"/>
    <mergeCell ref="J22:L22"/>
    <mergeCell ref="D11:H11"/>
    <mergeCell ref="B14:H16"/>
    <mergeCell ref="B13:H13"/>
    <mergeCell ref="O14:O15"/>
    <mergeCell ref="N14:N15"/>
    <mergeCell ref="D10:H10"/>
    <mergeCell ref="D9:H9"/>
    <mergeCell ref="B2:H2"/>
    <mergeCell ref="D8:H8"/>
    <mergeCell ref="J3:K3"/>
    <mergeCell ref="D7:H7"/>
    <mergeCell ref="J8:M8"/>
    <mergeCell ref="B3:C3"/>
    <mergeCell ref="D5:H5"/>
    <mergeCell ref="D6:H6"/>
    <mergeCell ref="D4:H4"/>
    <mergeCell ref="C34:D34"/>
    <mergeCell ref="J23:L23"/>
    <mergeCell ref="J24:L24"/>
    <mergeCell ref="J25:L25"/>
    <mergeCell ref="J28:L28"/>
    <mergeCell ref="J26:L26"/>
    <mergeCell ref="J27:L27"/>
    <mergeCell ref="E29:G29"/>
    <mergeCell ref="C30:D30"/>
    <mergeCell ref="J29:L29"/>
    <mergeCell ref="J30:L30"/>
    <mergeCell ref="J31:L31"/>
    <mergeCell ref="J32:L32"/>
  </mergeCells>
  <conditionalFormatting sqref="K21:L21 K5:K6 N24:O25 L16:N17 L15:M15 N28:O28 O26:O27">
    <cfRule type="expression" dxfId="21" priority="10">
      <formula>$C$5=0</formula>
    </cfRule>
  </conditionalFormatting>
  <conditionalFormatting sqref="L10:N14">
    <cfRule type="expression" dxfId="20" priority="45">
      <formula>$C$5=0</formula>
    </cfRule>
  </conditionalFormatting>
  <conditionalFormatting sqref="O26">
    <cfRule type="expression" dxfId="19" priority="42">
      <formula>$C$5=0</formula>
    </cfRule>
  </conditionalFormatting>
  <conditionalFormatting sqref="D5:H6">
    <cfRule type="expression" dxfId="18" priority="12">
      <formula>$C5=0</formula>
    </cfRule>
  </conditionalFormatting>
  <conditionalFormatting sqref="O10">
    <cfRule type="expression" dxfId="17" priority="39">
      <formula>$C$5=0</formula>
    </cfRule>
  </conditionalFormatting>
  <conditionalFormatting sqref="O11:O13">
    <cfRule type="expression" dxfId="16" priority="36">
      <formula>$C$5=0</formula>
    </cfRule>
  </conditionalFormatting>
  <conditionalFormatting sqref="O14">
    <cfRule type="expression" dxfId="15" priority="35">
      <formula>$C$5=0</formula>
    </cfRule>
  </conditionalFormatting>
  <conditionalFormatting sqref="O16:O17">
    <cfRule type="expression" dxfId="14" priority="34">
      <formula>$C$5=0</formula>
    </cfRule>
  </conditionalFormatting>
  <conditionalFormatting sqref="D5:H5">
    <cfRule type="cellIs" dxfId="13" priority="31" operator="equal">
      <formula>$Q$46</formula>
    </cfRule>
  </conditionalFormatting>
  <conditionalFormatting sqref="D11:H11">
    <cfRule type="expression" dxfId="12" priority="19">
      <formula>$C11=0</formula>
    </cfRule>
  </conditionalFormatting>
  <conditionalFormatting sqref="C11">
    <cfRule type="cellIs" dxfId="11" priority="18" operator="greaterThan">
      <formula>0</formula>
    </cfRule>
  </conditionalFormatting>
  <conditionalFormatting sqref="D11:H11">
    <cfRule type="expression" dxfId="10" priority="17">
      <formula>$C$4=0</formula>
    </cfRule>
  </conditionalFormatting>
  <conditionalFormatting sqref="K6">
    <cfRule type="expression" dxfId="9" priority="47">
      <formula>$K$6&gt;3200</formula>
    </cfRule>
  </conditionalFormatting>
  <conditionalFormatting sqref="K5">
    <cfRule type="expression" dxfId="8" priority="11">
      <formula>OR($K$5&lt;200,$K$5&gt;700)</formula>
    </cfRule>
  </conditionalFormatting>
  <conditionalFormatting sqref="N26:N27">
    <cfRule type="expression" dxfId="7" priority="4">
      <formula>$C$5=0</formula>
    </cfRule>
  </conditionalFormatting>
  <conditionalFormatting sqref="D7 D10:D11 E24 F24:H28 H29 N29 K5:K6 N30:N32">
    <cfRule type="expression" dxfId="6" priority="2">
      <formula>$C$5=0</formula>
    </cfRule>
  </conditionalFormatting>
  <conditionalFormatting sqref="C30:D30">
    <cfRule type="expression" dxfId="5" priority="174">
      <formula>$C$30=$Q$54</formula>
    </cfRule>
  </conditionalFormatting>
  <conditionalFormatting sqref="C34">
    <cfRule type="expression" dxfId="4" priority="175">
      <formula>$C$34=$Q$58</formula>
    </cfRule>
  </conditionalFormatting>
  <conditionalFormatting sqref="C30">
    <cfRule type="expression" dxfId="3" priority="176">
      <formula>$C$30=$Q$55</formula>
    </cfRule>
  </conditionalFormatting>
  <conditionalFormatting sqref="D6:H6">
    <cfRule type="expression" dxfId="2" priority="177">
      <formula>$D$6=$Q$50</formula>
    </cfRule>
  </conditionalFormatting>
  <conditionalFormatting sqref="C10">
    <cfRule type="expression" dxfId="1" priority="178">
      <formula>$C$9=$Q$18</formula>
    </cfRule>
  </conditionalFormatting>
  <conditionalFormatting sqref="H34">
    <cfRule type="expression" dxfId="0" priority="1">
      <formula>$C$5=0</formula>
    </cfRule>
  </conditionalFormatting>
  <dataValidations count="6">
    <dataValidation type="list" allowBlank="1" showInputMessage="1" showErrorMessage="1" sqref="C9">
      <formula1>$Q$16:$Q$19</formula1>
    </dataValidation>
    <dataValidation type="whole" allowBlank="1" showInputMessage="1" showErrorMessage="1" sqref="C10">
      <formula1>1</formula1>
      <formula2>10</formula2>
    </dataValidation>
    <dataValidation type="list" allowBlank="1" showInputMessage="1" showErrorMessage="1" sqref="C7">
      <formula1>$Q$31:$Q$35</formula1>
    </dataValidation>
    <dataValidation type="list" allowBlank="1" showInputMessage="1" showErrorMessage="1" sqref="C8">
      <formula1>$Q$23:$Q$27</formula1>
    </dataValidation>
    <dataValidation type="list" allowBlank="1" showInputMessage="1" showErrorMessage="1" sqref="C11">
      <formula1>$Q$38:$Q$41</formula1>
    </dataValidation>
    <dataValidation type="list" allowBlank="1" showInputMessage="1" showErrorMessage="1" sqref="C24:C28">
      <formula1>$Q$11:$Q$13</formula1>
    </dataValidation>
  </dataValidations>
  <hyperlinks>
    <hyperlink ref="O1" location="ОГЛАВЛЕНИЕ!A1" display="оглавление"/>
  </hyperlink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83" orientation="landscape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1" id="{EF76963A-3665-484E-89CB-BD520C342830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E30:G30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ОГЛАВЛЕНИЕ</vt:lpstr>
      <vt:lpstr>Подвесная</vt:lpstr>
      <vt:lpstr>Складная</vt:lpstr>
      <vt:lpstr>Распашная</vt:lpstr>
      <vt:lpstr>Стационарная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Pisarev</dc:creator>
  <cp:lastModifiedBy>Home</cp:lastModifiedBy>
  <cp:lastPrinted>2015-02-14T09:33:23Z</cp:lastPrinted>
  <dcterms:created xsi:type="dcterms:W3CDTF">2015-02-11T05:31:15Z</dcterms:created>
  <dcterms:modified xsi:type="dcterms:W3CDTF">2020-04-21T14:16:26Z</dcterms:modified>
</cp:coreProperties>
</file>