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 tabRatio="874"/>
  </bookViews>
  <sheets>
    <sheet name="Оглавление" sheetId="6" r:id="rId1"/>
    <sheet name="Видимый верхний трек" sheetId="1" r:id="rId2"/>
    <sheet name="Скрытый верхний трек, корпус" sheetId="4" r:id="rId3"/>
    <sheet name="Скрытый верхний трек, проем" sheetId="5" r:id="rId4"/>
  </sheets>
  <definedNames>
    <definedName name="_xlnm.Print_Area" localSheetId="1">'Видимый верхний трек'!$C$3:$J$51</definedName>
    <definedName name="_xlnm.Print_Area" localSheetId="2">'Скрытый верхний трек, корпус'!$C$2:$J$53</definedName>
    <definedName name="_xlnm.Print_Area" localSheetId="3">'Скрытый верхний трек, проем'!$C$2:$J$56</definedName>
  </definedNames>
  <calcPr calcId="145621"/>
</workbook>
</file>

<file path=xl/calcChain.xml><?xml version="1.0" encoding="utf-8"?>
<calcChain xmlns="http://schemas.openxmlformats.org/spreadsheetml/2006/main">
  <c r="C25" i="4" l="1"/>
  <c r="G43" i="1" l="1"/>
  <c r="B18" i="5" l="1"/>
  <c r="G44" i="5" s="1"/>
  <c r="D11" i="5" l="1"/>
  <c r="D10" i="5"/>
  <c r="D11" i="4"/>
  <c r="J8" i="4" s="1"/>
  <c r="D10" i="4"/>
  <c r="D11" i="1"/>
  <c r="D10" i="1"/>
  <c r="J26" i="4" l="1"/>
  <c r="I26" i="4"/>
  <c r="I27" i="4"/>
  <c r="J27" i="4"/>
  <c r="J8" i="5"/>
  <c r="J27" i="5" s="1"/>
  <c r="J8" i="1"/>
  <c r="I25" i="5"/>
  <c r="I24" i="5"/>
  <c r="I23" i="5"/>
  <c r="I22" i="5"/>
  <c r="I34" i="5"/>
  <c r="J34" i="5" s="1"/>
  <c r="I33" i="5"/>
  <c r="J33" i="5" s="1"/>
  <c r="I32" i="5"/>
  <c r="J32" i="5" s="1"/>
  <c r="I31" i="5"/>
  <c r="I28" i="5"/>
  <c r="F34" i="5"/>
  <c r="F33" i="5"/>
  <c r="F32" i="5"/>
  <c r="F31" i="5"/>
  <c r="C26" i="5"/>
  <c r="J26" i="5" l="1"/>
  <c r="I26" i="5"/>
  <c r="I27" i="5"/>
  <c r="I26" i="1"/>
  <c r="I27" i="1"/>
  <c r="J27" i="1"/>
  <c r="J26" i="1"/>
  <c r="J31" i="5"/>
  <c r="I47" i="5" s="1"/>
  <c r="D26" i="5"/>
  <c r="I25" i="1"/>
  <c r="I24" i="1"/>
  <c r="I23" i="1"/>
  <c r="I22" i="1"/>
  <c r="I22" i="4"/>
  <c r="I25" i="4"/>
  <c r="I24" i="4"/>
  <c r="I23" i="4"/>
  <c r="I28" i="4"/>
  <c r="I34" i="4"/>
  <c r="J34" i="4" s="1"/>
  <c r="I33" i="4"/>
  <c r="J33" i="4" s="1"/>
  <c r="I32" i="4"/>
  <c r="J32" i="4" s="1"/>
  <c r="I31" i="4"/>
  <c r="J31" i="4" s="1"/>
  <c r="D25" i="4"/>
  <c r="F33" i="4"/>
  <c r="F32" i="4"/>
  <c r="F31" i="4"/>
  <c r="F30" i="4"/>
  <c r="F30" i="1" l="1"/>
  <c r="F31" i="1"/>
  <c r="F32" i="1"/>
  <c r="F33" i="1"/>
  <c r="J28" i="1"/>
  <c r="C25" i="1"/>
  <c r="D25" i="1" s="1"/>
  <c r="I31" i="1"/>
  <c r="J31" i="1" s="1"/>
  <c r="I32" i="1"/>
  <c r="J32" i="1" s="1"/>
  <c r="I33" i="1"/>
  <c r="J33" i="1" s="1"/>
  <c r="J22" i="1" l="1"/>
  <c r="I44" i="1" l="1"/>
  <c r="J12" i="1"/>
  <c r="I28" i="1" s="1"/>
  <c r="I39" i="1"/>
  <c r="I39" i="4"/>
  <c r="E33" i="1" l="1"/>
  <c r="E29" i="1"/>
  <c r="E30" i="1"/>
  <c r="E31" i="1"/>
  <c r="E32" i="1"/>
  <c r="J24" i="1"/>
  <c r="J23" i="1"/>
  <c r="J20" i="1"/>
  <c r="I20" i="1" s="1"/>
  <c r="J19" i="1"/>
  <c r="J24" i="4"/>
  <c r="I49" i="4" s="1"/>
  <c r="J23" i="4"/>
  <c r="J22" i="4"/>
  <c r="J20" i="4"/>
  <c r="I20" i="4" s="1"/>
  <c r="J19" i="4"/>
  <c r="J20" i="5"/>
  <c r="I20" i="5" s="1"/>
  <c r="J19" i="5"/>
  <c r="I19" i="5" s="1"/>
  <c r="I19" i="1" l="1"/>
  <c r="J25" i="1"/>
  <c r="J25" i="4"/>
  <c r="I19" i="4"/>
  <c r="I49" i="1"/>
  <c r="I39" i="5"/>
  <c r="J22" i="5" l="1"/>
  <c r="J25" i="5" l="1"/>
  <c r="J23" i="5"/>
  <c r="J24" i="5"/>
  <c r="I50" i="5" s="1"/>
  <c r="J7" i="4" l="1"/>
  <c r="I21" i="4" l="1"/>
  <c r="J11" i="4"/>
  <c r="D29" i="4" s="1"/>
  <c r="J28" i="4" s="1"/>
  <c r="I38" i="5"/>
  <c r="I38" i="4"/>
  <c r="I15" i="4"/>
  <c r="I15" i="5"/>
  <c r="I16" i="5"/>
  <c r="J7" i="5"/>
  <c r="I15" i="1"/>
  <c r="I16" i="1"/>
  <c r="J7" i="1"/>
  <c r="J11" i="1" s="1"/>
  <c r="I41" i="5"/>
  <c r="I40" i="5"/>
  <c r="J18" i="5"/>
  <c r="J17" i="5"/>
  <c r="I44" i="5" s="1"/>
  <c r="I41" i="4"/>
  <c r="I40" i="4"/>
  <c r="J18" i="4"/>
  <c r="J17" i="4"/>
  <c r="I42" i="4" s="1"/>
  <c r="I16" i="4"/>
  <c r="J12" i="5" l="1"/>
  <c r="I45" i="5"/>
  <c r="I21" i="5"/>
  <c r="J11" i="5"/>
  <c r="D30" i="5" s="1"/>
  <c r="I30" i="5" s="1"/>
  <c r="J30" i="5" s="1"/>
  <c r="I30" i="4"/>
  <c r="C37" i="4"/>
  <c r="I29" i="4"/>
  <c r="J29" i="4" s="1"/>
  <c r="F29" i="4"/>
  <c r="J12" i="4"/>
  <c r="I44" i="4"/>
  <c r="I21" i="1"/>
  <c r="D29" i="1"/>
  <c r="J21" i="5"/>
  <c r="J21" i="4"/>
  <c r="I42" i="5"/>
  <c r="I37" i="5"/>
  <c r="I37" i="4"/>
  <c r="I43" i="4"/>
  <c r="I43" i="5"/>
  <c r="I17" i="5"/>
  <c r="I17" i="4"/>
  <c r="I18" i="5"/>
  <c r="I18" i="4"/>
  <c r="C35" i="4" l="1"/>
  <c r="D35" i="4" s="1"/>
  <c r="C38" i="4"/>
  <c r="J30" i="4"/>
  <c r="I46" i="4" s="1"/>
  <c r="E34" i="5"/>
  <c r="E32" i="5"/>
  <c r="E31" i="5"/>
  <c r="E33" i="5"/>
  <c r="E30" i="5"/>
  <c r="I51" i="5" s="1"/>
  <c r="E30" i="4"/>
  <c r="E29" i="4"/>
  <c r="E33" i="4"/>
  <c r="E32" i="4"/>
  <c r="I50" i="4" s="1"/>
  <c r="E31" i="4"/>
  <c r="C38" i="5"/>
  <c r="I29" i="5"/>
  <c r="J29" i="5" s="1"/>
  <c r="F30" i="5"/>
  <c r="C40" i="5" s="1"/>
  <c r="J28" i="5"/>
  <c r="I45" i="4"/>
  <c r="C37" i="1"/>
  <c r="I29" i="1"/>
  <c r="F29" i="1"/>
  <c r="C39" i="1" s="1"/>
  <c r="I48" i="5"/>
  <c r="I47" i="4"/>
  <c r="I49" i="5" l="1"/>
  <c r="I48" i="4"/>
  <c r="C36" i="5"/>
  <c r="D36" i="5" s="1"/>
  <c r="C35" i="1"/>
  <c r="D35" i="1" s="1"/>
  <c r="I46" i="5"/>
  <c r="J29" i="1"/>
  <c r="I40" i="1"/>
  <c r="I38" i="1"/>
  <c r="I42" i="1" l="1"/>
  <c r="J18" i="1" l="1"/>
  <c r="J17" i="1"/>
  <c r="I43" i="1" s="1"/>
  <c r="I41" i="1" l="1"/>
  <c r="J21" i="1"/>
  <c r="I37" i="1" l="1"/>
  <c r="I17" i="1"/>
  <c r="I18" i="1"/>
  <c r="I48" i="1" l="1"/>
  <c r="I50" i="1"/>
  <c r="I47" i="1"/>
  <c r="I34" i="1"/>
  <c r="J34" i="1" s="1"/>
  <c r="I30" i="1"/>
  <c r="I45" i="1"/>
  <c r="J30" i="1" l="1"/>
  <c r="I46" i="1" s="1"/>
</calcChain>
</file>

<file path=xl/sharedStrings.xml><?xml version="1.0" encoding="utf-8"?>
<sst xmlns="http://schemas.openxmlformats.org/spreadsheetml/2006/main" count="357" uniqueCount="122">
  <si>
    <t>Высота проёма</t>
  </si>
  <si>
    <t>Количество дверей</t>
  </si>
  <si>
    <t>Количество перекрытий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</si>
  <si>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</si>
  <si>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</si>
  <si>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</si>
  <si>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</si>
  <si>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</si>
  <si>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</si>
  <si>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</si>
  <si>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</si>
  <si>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</si>
  <si>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</si>
  <si>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</si>
  <si>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 xml:space="preserve">* по внутреннему проёму шкафа, зависит от наличия боковин и их толщины </t>
  </si>
  <si>
    <t>NOVA Кронштейн внутренний ANV16-01 + внешний ANV16-03**</t>
  </si>
  <si>
    <r>
      <rPr>
        <b/>
        <sz val="20"/>
        <color theme="1"/>
        <rFont val="Calibri"/>
        <family val="2"/>
        <charset val="204"/>
        <scheme val="minor"/>
      </rPr>
      <t xml:space="preserve">РАСЧЁТ ДВЕРЕЙ </t>
    </r>
    <r>
      <rPr>
        <b/>
        <sz val="20"/>
        <color theme="1"/>
        <rFont val="Candara"/>
        <family val="2"/>
        <charset val="204"/>
      </rPr>
      <t>ARISTO NOVA</t>
    </r>
  </si>
  <si>
    <t>Доводчик</t>
  </si>
  <si>
    <t>Верхний позиционер</t>
  </si>
  <si>
    <t>Количество доводчиков общее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</si>
  <si>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</si>
  <si>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</si>
  <si>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</si>
  <si>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перекрытий (перекрытие 12мм)</t>
  </si>
  <si>
    <t xml:space="preserve">РАСЧЁТ ДВЕРЕЙ ARISTO NOVA </t>
  </si>
  <si>
    <r>
      <t xml:space="preserve">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</t>
    </r>
  </si>
  <si>
    <t>Толщина деталей корпуса шкафа 16мм</t>
  </si>
  <si>
    <t>**по 2 шт. на дверь, внутренние ANV16-01/внешние ANV16-03 - по расположению дверей. При монтаже доводчика требуется дополнительный кронштейн (доводчик устанавливается на 2 кронштейна).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</si>
  <si>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</si>
  <si>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</si>
  <si>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</si>
  <si>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</si>
  <si>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</si>
  <si>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</si>
  <si>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оглавление</t>
  </si>
  <si>
    <t>Соединительная пластина</t>
  </si>
  <si>
    <t>артикул</t>
  </si>
  <si>
    <t xml:space="preserve">Направляющая верхняя </t>
  </si>
  <si>
    <t>CKRU0046</t>
  </si>
  <si>
    <t xml:space="preserve">Направляющая нижняя </t>
  </si>
  <si>
    <t>CKRU0009</t>
  </si>
  <si>
    <t xml:space="preserve">NOVA Вертикальный профиль </t>
  </si>
  <si>
    <t>CKRU0487</t>
  </si>
  <si>
    <t xml:space="preserve">NOVA Рамка горизонтальная узкая </t>
  </si>
  <si>
    <t>CKRU0442</t>
  </si>
  <si>
    <t xml:space="preserve">NOVA Рамка средняя закрытая (делитель двери) </t>
  </si>
  <si>
    <t>CKRU0486</t>
  </si>
  <si>
    <t xml:space="preserve">NOVA Рамка средняя закрытая (стыковка с врезной ручкой) </t>
  </si>
  <si>
    <t xml:space="preserve">NOVA Усилитель вертикальный </t>
  </si>
  <si>
    <t>CKRU0638</t>
  </si>
  <si>
    <t xml:space="preserve">NOVA Рамка средняя открытая (делитель двери) </t>
  </si>
  <si>
    <t>CKRU0485</t>
  </si>
  <si>
    <t xml:space="preserve">NOVA Рамка средняя открытая (врезная ручка) </t>
  </si>
  <si>
    <t xml:space="preserve">NOVA Торцевой профиль ручки </t>
  </si>
  <si>
    <t>CKRU0448</t>
  </si>
  <si>
    <t>CKRU0480</t>
  </si>
  <si>
    <t xml:space="preserve">AR-W-QL(10*4)/745 </t>
  </si>
  <si>
    <t>ANV16-05</t>
  </si>
  <si>
    <t xml:space="preserve">NOVA Комплект роликов </t>
  </si>
  <si>
    <t>ANV16</t>
  </si>
  <si>
    <t xml:space="preserve">Врезная ручка, 200 мм </t>
  </si>
  <si>
    <t>ANV16-04</t>
  </si>
  <si>
    <t>ARD-02 L/ARD-02 R</t>
  </si>
  <si>
    <t>ARS01</t>
  </si>
  <si>
    <t>КНП 01</t>
  </si>
  <si>
    <t>NOVA Усилитель вертикальный</t>
  </si>
  <si>
    <t>NOVA Рамка средняя открытая (врезная ручка)</t>
  </si>
  <si>
    <t>Выберите элемент соединения вставок двери:</t>
  </si>
  <si>
    <t>NOVA Кронштейн внутренний  + внешний **</t>
  </si>
  <si>
    <t>ANV16-01/ANV16-03</t>
  </si>
  <si>
    <t>Направляющая верхняя</t>
  </si>
  <si>
    <t>Направляющая нижняя</t>
  </si>
  <si>
    <t>NOVA Вертикальный профиль</t>
  </si>
  <si>
    <t>NOVA Рамка горизонтальная узкая</t>
  </si>
  <si>
    <t>NOVA Рамка средняя закрытая (стыковка с врезной ручкой)</t>
  </si>
  <si>
    <t>NOVA Рамка средняя открытая (делитель двери)</t>
  </si>
  <si>
    <t>AR-W-QL(10*4)/745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</si>
  <si>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</si>
  <si>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</si>
  <si>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</si>
  <si>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</si>
  <si>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</si>
  <si>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</si>
  <si>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</si>
  <si>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</si>
  <si>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</si>
  <si>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</si>
  <si>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</si>
  <si>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</si>
  <si>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CKRU0505</t>
  </si>
  <si>
    <t>CKRU0651</t>
  </si>
  <si>
    <t>Уголок для рамы под зеркало/стекло</t>
  </si>
  <si>
    <t>Зеркало/Стекло 4 мм</t>
  </si>
  <si>
    <t>ANV16-06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</si>
  <si>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</si>
  <si>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</si>
  <si>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</si>
  <si>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</si>
  <si>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</si>
  <si>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</si>
  <si>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</si>
  <si>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</si>
  <si>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</si>
  <si>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</si>
  <si>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</si>
  <si>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</si>
  <si>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</si>
  <si>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</si>
  <si>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</si>
  <si>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</si>
  <si>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</si>
  <si>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</si>
  <si>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</si>
  <si>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</si>
  <si>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</si>
  <si>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</si>
  <si>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ANV16-07</t>
  </si>
  <si>
    <t>да</t>
  </si>
  <si>
    <t>нет</t>
  </si>
  <si>
    <t>Уплотнитель полиуретановый на боковую поверхность двери</t>
  </si>
  <si>
    <t>Уплотнитель для рамы под стекло</t>
  </si>
  <si>
    <t>Укажите высоту Вставки 5 (низ двери)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</si>
</sst>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13" fillId="0" borderId="0" xfId="0" applyFont="1"/>
    <xf numFmtId="3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13" xfId="0" applyFont="1" applyFill="1" applyBorder="1" applyAlignment="1">
      <alignment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Alignment="1">
      <alignment horizontal="left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4" borderId="19" xfId="0" applyFill="1" applyBorder="1"/>
    <xf numFmtId="0" fontId="0" fillId="4" borderId="23" xfId="0" applyFill="1" applyBorder="1"/>
    <xf numFmtId="0" fontId="0" fillId="4" borderId="36" xfId="0" applyFill="1" applyBorder="1"/>
    <xf numFmtId="0" fontId="0" fillId="4" borderId="0" xfId="0" applyFill="1"/>
    <xf numFmtId="0" fontId="0" fillId="4" borderId="37" xfId="0" applyFill="1" applyBorder="1"/>
    <xf numFmtId="0" fontId="0" fillId="4" borderId="0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6" xfId="0" applyFill="1" applyBorder="1"/>
    <xf numFmtId="0" fontId="0" fillId="4" borderId="38" xfId="0" applyFill="1" applyBorder="1"/>
    <xf numFmtId="0" fontId="15" fillId="0" borderId="1" xfId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6" fillId="2" borderId="2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7" fontId="16" fillId="0" borderId="28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6" xfId="0" applyNumberFormat="1" applyFont="1" applyFill="1" applyBorder="1" applyAlignment="1">
      <alignment horizontal="center" vertical="center"/>
    </xf>
    <xf numFmtId="167" fontId="17" fillId="0" borderId="2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167" fontId="18" fillId="0" borderId="28" xfId="0" applyNumberFormat="1" applyFont="1" applyFill="1" applyBorder="1" applyAlignment="1">
      <alignment horizontal="center" vertical="center"/>
    </xf>
    <xf numFmtId="0" fontId="19" fillId="0" borderId="0" xfId="0" applyFont="1" applyAlignment="1"/>
    <xf numFmtId="0" fontId="0" fillId="0" borderId="18" xfId="0" applyBorder="1" applyAlignment="1">
      <alignment wrapText="1"/>
    </xf>
    <xf numFmtId="0" fontId="16" fillId="0" borderId="29" xfId="0" applyFont="1" applyBorder="1" applyAlignment="1">
      <alignment horizontal="center" vertical="center"/>
    </xf>
    <xf numFmtId="1" fontId="3" fillId="0" borderId="2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" fillId="0" borderId="37" xfId="0" applyFont="1" applyBorder="1" applyAlignment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2" borderId="39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167" fontId="16" fillId="0" borderId="25" xfId="0" applyNumberFormat="1" applyFont="1" applyFill="1" applyBorder="1" applyAlignment="1">
      <alignment horizontal="center" vertical="center"/>
    </xf>
    <xf numFmtId="164" fontId="3" fillId="0" borderId="41" xfId="0" applyNumberFormat="1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" fontId="2" fillId="0" borderId="0" xfId="0" applyNumberFormat="1" applyFont="1"/>
    <xf numFmtId="0" fontId="2" fillId="0" borderId="20" xfId="0" applyFont="1" applyBorder="1" applyAlignment="1">
      <alignment vertical="center"/>
    </xf>
    <xf numFmtId="0" fontId="12" fillId="0" borderId="26" xfId="0" applyFont="1" applyBorder="1" applyAlignment="1">
      <alignment horizontal="right" vertical="center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3" fillId="0" borderId="2" xfId="0" applyNumberFormat="1" applyFont="1" applyBorder="1" applyAlignment="1" applyProtection="1">
      <alignment horizontal="center" vertical="center" wrapText="1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0" borderId="30" xfId="0" applyNumberFormat="1" applyFont="1" applyBorder="1" applyAlignment="1" applyProtection="1">
      <alignment horizontal="center" vertical="center" wrapText="1"/>
    </xf>
    <xf numFmtId="3" fontId="3" fillId="0" borderId="3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0" fillId="0" borderId="10" xfId="0" applyNumberForma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0" fillId="0" borderId="10" xfId="0" applyNumberForma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64" fontId="3" fillId="3" borderId="32" xfId="0" applyNumberFormat="1" applyFont="1" applyFill="1" applyBorder="1" applyAlignment="1" applyProtection="1">
      <alignment horizontal="center" vertical="center"/>
      <protection locked="0"/>
    </xf>
    <xf numFmtId="164" fontId="3" fillId="3" borderId="33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2" fillId="0" borderId="43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12" xfId="0" applyNumberFormat="1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 applyProtection="1">
      <alignment horizontal="center" vertical="center" wrapText="1"/>
    </xf>
    <xf numFmtId="168" fontId="0" fillId="0" borderId="10" xfId="0" applyNumberFormat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" fillId="3" borderId="44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2" xfId="0" applyNumberFormat="1" applyFont="1" applyBorder="1" applyAlignment="1" applyProtection="1">
      <alignment horizontal="center" vertical="center" wrapText="1"/>
    </xf>
    <xf numFmtId="168" fontId="3" fillId="0" borderId="12" xfId="0" applyNumberFormat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042;&#1080;&#1076;&#1080;&#1084;&#1099;&#1081; &#1074;&#1077;&#1088;&#1093;&#1085;&#1080;&#1081; &#1090;&#1088;&#1077;&#1082;'!B7"/><Relationship Id="rId2" Type="http://schemas.openxmlformats.org/officeDocument/2006/relationships/hyperlink" Target="#'&#1057;&#1082;&#1088;&#1099;&#1090;&#1099;&#1081; &#1074;&#1077;&#1088;&#1093;&#1085;&#1080;&#1081; &#1090;&#1088;&#1077;&#1082;, &#1082;&#1086;&#1088;&#1087;&#1091;&#1089;'!B7"/><Relationship Id="rId1" Type="http://schemas.openxmlformats.org/officeDocument/2006/relationships/hyperlink" Target="#'&#1057;&#1082;&#1088;&#1099;&#1090;&#1099;&#1081; &#1074;&#1077;&#1088;&#1093;&#1085;&#1080;&#1081; &#1090;&#1088;&#1077;&#1082;, &#1087;&#1088;&#1086;&#1077;&#1084;'!B7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615527" y="20624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проем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Скрытый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трек, корпус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623403" y="126987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Видимый</a:t>
          </a:r>
          <a:r>
            <a:rPr lang="ru-RU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верхний трек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80010</xdr:colOff>
      <xdr:row>1</xdr:row>
      <xdr:rowOff>204106</xdr:rowOff>
    </xdr:from>
    <xdr:to>
      <xdr:col>16</xdr:col>
      <xdr:colOff>462642</xdr:colOff>
      <xdr:row>40</xdr:row>
      <xdr:rowOff>56383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2439" y="449035"/>
          <a:ext cx="2831917" cy="95813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33</xdr:row>
      <xdr:rowOff>190503</xdr:rowOff>
    </xdr:from>
    <xdr:to>
      <xdr:col>1</xdr:col>
      <xdr:colOff>1973036</xdr:colOff>
      <xdr:row>45</xdr:row>
      <xdr:rowOff>265054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99033</xdr:colOff>
      <xdr:row>1</xdr:row>
      <xdr:rowOff>244929</xdr:rowOff>
    </xdr:from>
    <xdr:to>
      <xdr:col>21</xdr:col>
      <xdr:colOff>367393</xdr:colOff>
      <xdr:row>40</xdr:row>
      <xdr:rowOff>76866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6033" y="489858"/>
          <a:ext cx="6391574" cy="956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666751</xdr:colOff>
      <xdr:row>33</xdr:row>
      <xdr:rowOff>163285</xdr:rowOff>
    </xdr:from>
    <xdr:to>
      <xdr:col>1</xdr:col>
      <xdr:colOff>1973039</xdr:colOff>
      <xdr:row>46</xdr:row>
      <xdr:rowOff>74550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8" y="7932964"/>
          <a:ext cx="1306288" cy="3095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396391</xdr:colOff>
      <xdr:row>1</xdr:row>
      <xdr:rowOff>68034</xdr:rowOff>
    </xdr:from>
    <xdr:to>
      <xdr:col>20</xdr:col>
      <xdr:colOff>353786</xdr:colOff>
      <xdr:row>40</xdr:row>
      <xdr:rowOff>196480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02748" y="312963"/>
          <a:ext cx="6080609" cy="98575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653143</xdr:colOff>
      <xdr:row>34</xdr:row>
      <xdr:rowOff>190500</xdr:rowOff>
    </xdr:from>
    <xdr:to>
      <xdr:col>1</xdr:col>
      <xdr:colOff>1959431</xdr:colOff>
      <xdr:row>47</xdr:row>
      <xdr:rowOff>101764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" y="7960179"/>
          <a:ext cx="1306288" cy="3095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/>
  </sheetViews>
  <sheetFormatPr defaultRowHeight="15" x14ac:dyDescent="0.25"/>
  <sheetData>
    <row r="1" spans="1:11" x14ac:dyDescent="0.25">
      <c r="A1" s="53"/>
      <c r="B1" s="54"/>
      <c r="C1" s="54"/>
      <c r="D1" s="54"/>
      <c r="E1" s="54"/>
      <c r="F1" s="54"/>
      <c r="G1" s="54"/>
      <c r="H1" s="54"/>
      <c r="I1" s="54"/>
      <c r="J1" s="55"/>
      <c r="K1" s="56"/>
    </row>
    <row r="2" spans="1:11" x14ac:dyDescent="0.25">
      <c r="A2" s="57"/>
      <c r="B2" s="58"/>
      <c r="C2" s="58"/>
      <c r="D2" s="58"/>
      <c r="E2" s="58"/>
      <c r="F2" s="58"/>
      <c r="G2" s="58"/>
      <c r="H2" s="58"/>
      <c r="I2" s="58"/>
      <c r="J2" s="59"/>
      <c r="K2" s="56"/>
    </row>
    <row r="3" spans="1:11" x14ac:dyDescent="0.25">
      <c r="A3" s="57"/>
      <c r="B3" s="58"/>
      <c r="C3" s="58"/>
      <c r="D3" s="58"/>
      <c r="E3" s="58"/>
      <c r="F3" s="58"/>
      <c r="G3" s="58"/>
      <c r="H3" s="58"/>
      <c r="I3" s="58"/>
      <c r="J3" s="59"/>
      <c r="K3" s="56"/>
    </row>
    <row r="4" spans="1:11" x14ac:dyDescent="0.25">
      <c r="A4" s="57"/>
      <c r="B4" s="58"/>
      <c r="C4" s="58"/>
      <c r="D4" s="58"/>
      <c r="E4" s="58"/>
      <c r="F4" s="58"/>
      <c r="G4" s="58"/>
      <c r="H4" s="58"/>
      <c r="I4" s="58"/>
      <c r="J4" s="59"/>
      <c r="K4" s="56"/>
    </row>
    <row r="5" spans="1:11" x14ac:dyDescent="0.25">
      <c r="A5" s="57"/>
      <c r="B5" s="58"/>
      <c r="C5" s="58"/>
      <c r="D5" s="58"/>
      <c r="E5" s="58"/>
      <c r="F5" s="58"/>
      <c r="G5" s="58"/>
      <c r="H5" s="58"/>
      <c r="I5" s="58"/>
      <c r="J5" s="59"/>
      <c r="K5" s="56"/>
    </row>
    <row r="6" spans="1:11" x14ac:dyDescent="0.25">
      <c r="A6" s="57"/>
      <c r="B6" s="58"/>
      <c r="C6" s="58"/>
      <c r="D6" s="58"/>
      <c r="E6" s="58"/>
      <c r="F6" s="58"/>
      <c r="G6" s="58"/>
      <c r="H6" s="58"/>
      <c r="I6" s="58"/>
      <c r="J6" s="59"/>
      <c r="K6" s="56"/>
    </row>
    <row r="7" spans="1:11" x14ac:dyDescent="0.25">
      <c r="A7" s="57"/>
      <c r="B7" s="58"/>
      <c r="C7" s="58"/>
      <c r="D7" s="58"/>
      <c r="E7" s="58"/>
      <c r="F7" s="58"/>
      <c r="G7" s="58"/>
      <c r="H7" s="58"/>
      <c r="I7" s="58"/>
      <c r="J7" s="59"/>
      <c r="K7" s="56"/>
    </row>
    <row r="8" spans="1:11" x14ac:dyDescent="0.25">
      <c r="A8" s="57"/>
      <c r="B8" s="58"/>
      <c r="C8" s="58"/>
      <c r="D8" s="58"/>
      <c r="E8" s="58"/>
      <c r="F8" s="58"/>
      <c r="G8" s="58"/>
      <c r="H8" s="58"/>
      <c r="I8" s="58"/>
      <c r="J8" s="59"/>
      <c r="K8" s="56"/>
    </row>
    <row r="9" spans="1:11" x14ac:dyDescent="0.25">
      <c r="A9" s="57"/>
      <c r="B9" s="58"/>
      <c r="C9" s="58"/>
      <c r="D9" s="58"/>
      <c r="E9" s="58"/>
      <c r="F9" s="58"/>
      <c r="G9" s="58"/>
      <c r="H9" s="58"/>
      <c r="I9" s="58"/>
      <c r="J9" s="59"/>
      <c r="K9" s="56"/>
    </row>
    <row r="10" spans="1:1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9"/>
      <c r="K10" s="56"/>
    </row>
    <row r="11" spans="1:11" x14ac:dyDescent="0.25">
      <c r="A11" s="57"/>
      <c r="B11" s="58"/>
      <c r="C11" s="58"/>
      <c r="D11" s="58"/>
      <c r="E11" s="58"/>
      <c r="F11" s="58"/>
      <c r="G11" s="58"/>
      <c r="H11" s="58"/>
      <c r="I11" s="58"/>
      <c r="J11" s="59"/>
      <c r="K11" s="56"/>
    </row>
    <row r="12" spans="1:11" x14ac:dyDescent="0.25">
      <c r="A12" s="57"/>
      <c r="B12" s="58"/>
      <c r="C12" s="58"/>
      <c r="D12" s="58"/>
      <c r="E12" s="58"/>
      <c r="F12" s="58"/>
      <c r="G12" s="58"/>
      <c r="H12" s="58"/>
      <c r="I12" s="58"/>
      <c r="J12" s="59"/>
      <c r="K12" s="56"/>
    </row>
    <row r="13" spans="1:11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9"/>
      <c r="K13" s="56"/>
    </row>
    <row r="14" spans="1:1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9"/>
      <c r="K14" s="56"/>
    </row>
    <row r="15" spans="1:1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9"/>
      <c r="K15" s="56"/>
    </row>
    <row r="16" spans="1:11" ht="15.75" thickBot="1" x14ac:dyDescent="0.3">
      <c r="A16" s="60"/>
      <c r="B16" s="61"/>
      <c r="C16" s="61"/>
      <c r="D16" s="61"/>
      <c r="E16" s="61"/>
      <c r="F16" s="61"/>
      <c r="G16" s="61"/>
      <c r="H16" s="61"/>
      <c r="I16" s="61"/>
      <c r="J16" s="62"/>
      <c r="K16" s="56"/>
    </row>
    <row r="17" spans="1:1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</sheetData>
  <sheetProtection password="CC59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4"/>
  <sheetViews>
    <sheetView zoomScale="70" zoomScaleNormal="70" workbookViewId="0">
      <selection activeCell="B38" sqref="B38"/>
    </sheetView>
  </sheetViews>
  <sheetFormatPr defaultColWidth="9.140625" defaultRowHeight="18.75" x14ac:dyDescent="0.3"/>
  <cols>
    <col min="1" max="1" width="6.28515625" style="4" customWidth="1"/>
    <col min="2" max="3" width="43.140625" style="4" customWidth="1"/>
    <col min="4" max="5" width="14.7109375" style="2" customWidth="1"/>
    <col min="6" max="6" width="3.7109375" style="4" customWidth="1"/>
    <col min="7" max="7" width="84.42578125" style="4" customWidth="1"/>
    <col min="8" max="8" width="19.7109375" style="4" customWidth="1"/>
    <col min="9" max="9" width="16.7109375" style="4" customWidth="1"/>
    <col min="10" max="10" width="15.140625" style="4" customWidth="1"/>
    <col min="11" max="11" width="4.28515625" style="4" customWidth="1"/>
    <col min="12" max="17" width="9.140625" style="4"/>
    <col min="18" max="18" width="9.140625" style="4" customWidth="1"/>
    <col min="19" max="19" width="48.5703125" style="4" hidden="1" customWidth="1"/>
    <col min="20" max="20" width="17.140625" style="4" customWidth="1"/>
    <col min="21" max="16384" width="9.140625" style="4"/>
  </cols>
  <sheetData>
    <row r="1" spans="2:19" x14ac:dyDescent="0.3">
      <c r="C1" s="50"/>
    </row>
    <row r="2" spans="2:19" s="1" customFormat="1" ht="27.6" customHeight="1" x14ac:dyDescent="0.25">
      <c r="B2" s="140" t="s">
        <v>24</v>
      </c>
      <c r="C2" s="140"/>
      <c r="D2" s="140"/>
      <c r="E2" s="140"/>
      <c r="F2" s="140"/>
      <c r="G2" s="140"/>
      <c r="H2" s="140"/>
      <c r="I2" s="140"/>
      <c r="J2" s="140"/>
    </row>
    <row r="3" spans="2:19" s="13" customFormat="1" ht="26.1" customHeight="1" x14ac:dyDescent="0.25">
      <c r="B3" s="140"/>
      <c r="C3" s="140"/>
      <c r="D3" s="140"/>
      <c r="E3" s="140"/>
      <c r="F3" s="140"/>
      <c r="G3" s="140"/>
      <c r="H3" s="140"/>
      <c r="I3" s="140"/>
      <c r="J3" s="140"/>
    </row>
    <row r="4" spans="2:19" s="13" customFormat="1" ht="20.100000000000001" customHeight="1" x14ac:dyDescent="0.3">
      <c r="C4" s="14"/>
      <c r="D4" s="14"/>
      <c r="E4" s="14"/>
      <c r="G4" s="17"/>
      <c r="H4" s="17"/>
      <c r="I4" s="17"/>
      <c r="J4" s="17"/>
    </row>
    <row r="5" spans="2:19" s="13" customFormat="1" ht="20.100000000000001" customHeight="1" x14ac:dyDescent="0.25">
      <c r="B5" s="141" t="s">
        <v>12</v>
      </c>
      <c r="C5" s="141"/>
      <c r="D5" s="141"/>
      <c r="E5" s="141"/>
      <c r="G5" s="141" t="s">
        <v>11</v>
      </c>
      <c r="H5" s="141"/>
      <c r="I5" s="141"/>
      <c r="J5" s="141"/>
    </row>
    <row r="6" spans="2:19" s="1" customFormat="1" ht="20.100000000000001" customHeight="1" thickBot="1" x14ac:dyDescent="0.3">
      <c r="C6" s="22"/>
      <c r="D6" s="22"/>
      <c r="E6" s="22"/>
      <c r="F6" s="13"/>
      <c r="G6" s="22"/>
      <c r="H6" s="22"/>
      <c r="I6" s="22"/>
      <c r="J6" s="22"/>
    </row>
    <row r="7" spans="2:19" s="1" customFormat="1" ht="20.100000000000001" customHeight="1" x14ac:dyDescent="0.25">
      <c r="B7" s="152" t="s">
        <v>0</v>
      </c>
      <c r="C7" s="153"/>
      <c r="D7" s="154">
        <v>2600</v>
      </c>
      <c r="E7" s="155"/>
      <c r="G7" s="144" t="s">
        <v>8</v>
      </c>
      <c r="H7" s="145"/>
      <c r="I7" s="8" t="s">
        <v>6</v>
      </c>
      <c r="J7" s="39">
        <f>D7-45</f>
        <v>2555</v>
      </c>
    </row>
    <row r="8" spans="2:19" s="1" customFormat="1" ht="20.100000000000001" customHeight="1" thickBot="1" x14ac:dyDescent="0.3">
      <c r="B8" s="120" t="s">
        <v>22</v>
      </c>
      <c r="C8" s="121"/>
      <c r="D8" s="156">
        <v>1800</v>
      </c>
      <c r="E8" s="157"/>
      <c r="G8" s="146"/>
      <c r="H8" s="147"/>
      <c r="I8" s="20" t="s">
        <v>7</v>
      </c>
      <c r="J8" s="40">
        <f>IF(AND(D18=S20,D9=S48),(D8-20+D11*12)/D10,IF(AND(D18=S21,D9=S48),(D8+D11*12)/D10,IF(D18=S20,(D8-10+D11*12)/D10,(D8+D11*12)/D10)))</f>
        <v>901</v>
      </c>
    </row>
    <row r="9" spans="2:19" s="1" customFormat="1" ht="20.100000000000001" customHeight="1" x14ac:dyDescent="0.25">
      <c r="B9" s="160" t="s">
        <v>114</v>
      </c>
      <c r="C9" s="161"/>
      <c r="D9" s="156" t="s">
        <v>109</v>
      </c>
      <c r="E9" s="157"/>
      <c r="G9" s="11"/>
      <c r="H9" s="11"/>
      <c r="I9" s="18"/>
      <c r="J9" s="110"/>
    </row>
    <row r="10" spans="2:19" s="1" customFormat="1" ht="20.100000000000001" customHeight="1" thickBot="1" x14ac:dyDescent="0.3">
      <c r="B10" s="120" t="s">
        <v>1</v>
      </c>
      <c r="C10" s="121"/>
      <c r="D10" s="158">
        <f>IF(D9=S45,2,IF(D9=S46,3,IF(D9=S47,4,IF(D9=S48,4,IF(D9=S49,5)))))</f>
        <v>2</v>
      </c>
      <c r="E10" s="159"/>
      <c r="G10" s="11"/>
      <c r="H10" s="11"/>
      <c r="I10" s="18"/>
      <c r="J10" s="34"/>
      <c r="S10" s="1" t="s">
        <v>108</v>
      </c>
    </row>
    <row r="11" spans="2:19" s="1" customFormat="1" ht="20.100000000000001" customHeight="1" x14ac:dyDescent="0.3">
      <c r="B11" s="120" t="s">
        <v>23</v>
      </c>
      <c r="C11" s="121"/>
      <c r="D11" s="158">
        <f>IF(D9=S45,1,IF(D9=S46,2,IF(D9=S47,3,IF(D9=S48,2,IF(D9=S49,4)))))</f>
        <v>1</v>
      </c>
      <c r="E11" s="159"/>
      <c r="G11" s="148" t="s">
        <v>115</v>
      </c>
      <c r="H11" s="149"/>
      <c r="I11" s="24" t="s">
        <v>13</v>
      </c>
      <c r="J11" s="39">
        <f>J7-1.6*D13-26*D14-3.5*2-26*D15</f>
        <v>2548</v>
      </c>
      <c r="K11" s="3"/>
      <c r="S11" s="1" t="s">
        <v>35</v>
      </c>
    </row>
    <row r="12" spans="2:19" s="1" customFormat="1" ht="20.100000000000001" customHeight="1" thickBot="1" x14ac:dyDescent="0.3">
      <c r="B12" s="120" t="s">
        <v>19</v>
      </c>
      <c r="C12" s="121"/>
      <c r="D12" s="142">
        <v>0</v>
      </c>
      <c r="E12" s="143"/>
      <c r="G12" s="150"/>
      <c r="H12" s="151"/>
      <c r="I12" s="20" t="s">
        <v>7</v>
      </c>
      <c r="J12" s="40">
        <f>J8-4</f>
        <v>897</v>
      </c>
    </row>
    <row r="13" spans="2:19" s="1" customFormat="1" ht="20.100000000000001" customHeight="1" thickBot="1" x14ac:dyDescent="0.3">
      <c r="B13" s="122" t="s">
        <v>30</v>
      </c>
      <c r="C13" s="123"/>
      <c r="D13" s="165">
        <v>0</v>
      </c>
      <c r="E13" s="166"/>
      <c r="G13" s="11"/>
      <c r="H13" s="11"/>
      <c r="I13" s="12"/>
      <c r="J13" s="23"/>
    </row>
    <row r="14" spans="2:19" s="1" customFormat="1" ht="20.100000000000001" customHeight="1" x14ac:dyDescent="0.25">
      <c r="B14" s="122" t="s">
        <v>31</v>
      </c>
      <c r="C14" s="123"/>
      <c r="D14" s="142">
        <v>0</v>
      </c>
      <c r="E14" s="143"/>
      <c r="G14" s="10" t="s">
        <v>3</v>
      </c>
      <c r="H14" s="66" t="s">
        <v>36</v>
      </c>
      <c r="I14" s="8" t="s">
        <v>4</v>
      </c>
      <c r="J14" s="9" t="s">
        <v>5</v>
      </c>
    </row>
    <row r="15" spans="2:19" s="1" customFormat="1" ht="20.100000000000001" customHeight="1" x14ac:dyDescent="0.25">
      <c r="B15" s="122" t="s">
        <v>32</v>
      </c>
      <c r="C15" s="123"/>
      <c r="D15" s="165">
        <v>0</v>
      </c>
      <c r="E15" s="166"/>
      <c r="G15" s="15" t="s">
        <v>37</v>
      </c>
      <c r="H15" s="70" t="s">
        <v>38</v>
      </c>
      <c r="I15" s="42">
        <f>D8-2</f>
        <v>1798</v>
      </c>
      <c r="J15" s="43">
        <v>1</v>
      </c>
      <c r="S15" s="1" t="s">
        <v>88</v>
      </c>
    </row>
    <row r="16" spans="2:19" s="1" customFormat="1" ht="20.100000000000001" customHeight="1" x14ac:dyDescent="0.25">
      <c r="B16" s="122" t="s">
        <v>29</v>
      </c>
      <c r="C16" s="123"/>
      <c r="D16" s="165">
        <v>0</v>
      </c>
      <c r="E16" s="166"/>
      <c r="G16" s="15" t="s">
        <v>39</v>
      </c>
      <c r="H16" s="70" t="s">
        <v>40</v>
      </c>
      <c r="I16" s="42">
        <f>D8-2</f>
        <v>1798</v>
      </c>
      <c r="J16" s="43">
        <v>1</v>
      </c>
      <c r="S16" s="1" t="s">
        <v>92</v>
      </c>
    </row>
    <row r="17" spans="2:19" s="1" customFormat="1" ht="20.100000000000001" customHeight="1" x14ac:dyDescent="0.25">
      <c r="B17" s="120" t="s">
        <v>33</v>
      </c>
      <c r="C17" s="121"/>
      <c r="D17" s="115">
        <v>140</v>
      </c>
      <c r="E17" s="116">
        <v>0</v>
      </c>
      <c r="G17" s="5" t="s">
        <v>41</v>
      </c>
      <c r="H17" s="70" t="s">
        <v>42</v>
      </c>
      <c r="I17" s="44">
        <f>J7</f>
        <v>2555</v>
      </c>
      <c r="J17" s="45">
        <f>D10*2</f>
        <v>4</v>
      </c>
    </row>
    <row r="18" spans="2:19" s="1" customFormat="1" ht="20.100000000000001" customHeight="1" thickBot="1" x14ac:dyDescent="0.3">
      <c r="B18" s="124" t="s">
        <v>119</v>
      </c>
      <c r="C18" s="125"/>
      <c r="D18" s="171" t="s">
        <v>117</v>
      </c>
      <c r="E18" s="172"/>
      <c r="G18" s="5" t="s">
        <v>43</v>
      </c>
      <c r="H18" s="70" t="s">
        <v>44</v>
      </c>
      <c r="I18" s="44">
        <f>J8-2*5</f>
        <v>891</v>
      </c>
      <c r="J18" s="45">
        <f>(D13+2)*D10</f>
        <v>4</v>
      </c>
    </row>
    <row r="19" spans="2:19" s="1" customFormat="1" ht="20.100000000000001" customHeight="1" thickBot="1" x14ac:dyDescent="0.3">
      <c r="G19" s="5" t="s">
        <v>45</v>
      </c>
      <c r="H19" s="67" t="s">
        <v>46</v>
      </c>
      <c r="I19" s="44">
        <f>IF(J19&lt;&gt;0,I18,0)</f>
        <v>0</v>
      </c>
      <c r="J19" s="45">
        <f>D14*D10-IF(D14&gt;0,IF(E17&gt;0,D10,IF(D16&gt;0,D10,0)),0)</f>
        <v>0</v>
      </c>
    </row>
    <row r="20" spans="2:19" s="1" customFormat="1" ht="20.100000000000001" customHeight="1" x14ac:dyDescent="0.25">
      <c r="B20" s="152" t="s">
        <v>67</v>
      </c>
      <c r="C20" s="162"/>
      <c r="G20" s="5" t="s">
        <v>47</v>
      </c>
      <c r="H20" s="67" t="s">
        <v>46</v>
      </c>
      <c r="I20" s="44">
        <f>IF(J20&lt;&gt;0,I18-D17*E17-200*D16,0)</f>
        <v>0</v>
      </c>
      <c r="J20" s="45">
        <f>IF(D14&gt;0,IF(E17&gt;0,D10,IF(D16&gt;0,D10,0)),0)</f>
        <v>0</v>
      </c>
      <c r="S20" s="1" t="s">
        <v>117</v>
      </c>
    </row>
    <row r="21" spans="2:19" s="1" customFormat="1" ht="20.100000000000001" customHeight="1" thickBot="1" x14ac:dyDescent="0.3">
      <c r="B21" s="173" t="s">
        <v>35</v>
      </c>
      <c r="C21" s="174"/>
      <c r="G21" s="5" t="s">
        <v>48</v>
      </c>
      <c r="H21" s="67" t="s">
        <v>49</v>
      </c>
      <c r="I21" s="46">
        <f>J7-20</f>
        <v>2535</v>
      </c>
      <c r="J21" s="47">
        <f>IF(J8&lt;1000,D10*2,D10*3)</f>
        <v>4</v>
      </c>
      <c r="S21" s="1" t="s">
        <v>118</v>
      </c>
    </row>
    <row r="22" spans="2:19" s="1" customFormat="1" ht="20.100000000000001" customHeight="1" x14ac:dyDescent="0.25">
      <c r="G22" s="5" t="s">
        <v>50</v>
      </c>
      <c r="H22" s="71" t="s">
        <v>51</v>
      </c>
      <c r="I22" s="46">
        <f>IF(D15&lt;&gt;0,I18,0)</f>
        <v>0</v>
      </c>
      <c r="J22" s="47">
        <f>D15*D10</f>
        <v>0</v>
      </c>
    </row>
    <row r="23" spans="2:19" s="1" customFormat="1" ht="20.100000000000001" customHeight="1" x14ac:dyDescent="0.25">
      <c r="B23" s="111" t="s">
        <v>20</v>
      </c>
      <c r="C23" s="111"/>
      <c r="D23" s="111"/>
      <c r="E23" s="111"/>
      <c r="G23" s="7" t="s">
        <v>52</v>
      </c>
      <c r="H23" s="70" t="s">
        <v>51</v>
      </c>
      <c r="I23" s="44">
        <f>IF(E17&lt;&gt;0,D17,0)</f>
        <v>0</v>
      </c>
      <c r="J23" s="47">
        <f>E17*D10</f>
        <v>0</v>
      </c>
    </row>
    <row r="24" spans="2:19" s="1" customFormat="1" ht="20.100000000000001" customHeight="1" thickBot="1" x14ac:dyDescent="0.3">
      <c r="G24" s="7" t="s">
        <v>53</v>
      </c>
      <c r="H24" s="70" t="s">
        <v>54</v>
      </c>
      <c r="I24" s="44">
        <f>IF(OR(E17&lt;&gt;0,D15&lt;&gt;0),23,0)</f>
        <v>0</v>
      </c>
      <c r="J24" s="47">
        <f>(E17+D15)*2*D10</f>
        <v>0</v>
      </c>
    </row>
    <row r="25" spans="2:19" s="1" customFormat="1" ht="20.100000000000001" customHeight="1" thickBot="1" x14ac:dyDescent="0.35">
      <c r="B25" s="86" t="s">
        <v>101</v>
      </c>
      <c r="C25" s="87">
        <f>SUM(D13:E15)+1</f>
        <v>1</v>
      </c>
      <c r="D25" s="176" t="str">
        <f>IF(C25&gt;5,S37,S38)</f>
        <v xml:space="preserve"> </v>
      </c>
      <c r="E25" s="177"/>
      <c r="G25" s="48" t="s">
        <v>108</v>
      </c>
      <c r="H25" s="70" t="s">
        <v>55</v>
      </c>
      <c r="I25" s="81">
        <f>IF(AND(B21='Видимый верхний трек'!S10,OR(D13&lt;&gt;0,D14&lt;&gt;0,D15&lt;&gt;0)),150,0)</f>
        <v>0</v>
      </c>
      <c r="J25" s="79">
        <f>IF(B21=S10,(D13*2+J19+J20+J22)*2,0)</f>
        <v>0</v>
      </c>
    </row>
    <row r="26" spans="2:19" s="1" customFormat="1" ht="20.100000000000001" customHeight="1" x14ac:dyDescent="0.25">
      <c r="G26" s="29" t="s">
        <v>108</v>
      </c>
      <c r="H26" s="71" t="s">
        <v>55</v>
      </c>
      <c r="I26" s="44">
        <f>IF(AND(B21='Видимый верхний трек'!S10,OR(D13&lt;&gt;0,D14&lt;&gt;0,D15&lt;&gt;0),J8&lt;1000),J8-45-300-80,0)</f>
        <v>0</v>
      </c>
      <c r="J26" s="82">
        <f>IF(AND(J8&lt;1000,B21=S10),(D14+D13+D15)*D10,0)</f>
        <v>0</v>
      </c>
    </row>
    <row r="27" spans="2:19" s="1" customFormat="1" ht="20.100000000000001" customHeight="1" thickBot="1" x14ac:dyDescent="0.3">
      <c r="G27" s="29" t="s">
        <v>108</v>
      </c>
      <c r="H27" s="71" t="s">
        <v>55</v>
      </c>
      <c r="I27" s="44">
        <f>IF(AND(B21='Видимый верхний трек'!S10,OR(D13&lt;&gt;0,D14&lt;&gt;0,D15&lt;&gt;0),J8&gt;=1000),(J8-45-300-120)/2,0)</f>
        <v>0</v>
      </c>
      <c r="J27" s="82">
        <f>IF(AND(J8&gt;=1000,B21=S10),(D14+D13+D15)*D10*2,0)</f>
        <v>0</v>
      </c>
    </row>
    <row r="28" spans="2:19" s="1" customFormat="1" ht="20.100000000000001" customHeight="1" x14ac:dyDescent="0.25">
      <c r="B28" s="91" t="s">
        <v>81</v>
      </c>
      <c r="C28" s="92" t="s">
        <v>85</v>
      </c>
      <c r="D28" s="92" t="s">
        <v>86</v>
      </c>
      <c r="E28" s="93" t="s">
        <v>87</v>
      </c>
      <c r="G28" s="29" t="s">
        <v>94</v>
      </c>
      <c r="H28" s="71" t="s">
        <v>90</v>
      </c>
      <c r="I28" s="81">
        <f>IF(OR(C33=S16,AND(C29=S16,D33=0)),J12-2-75,0)</f>
        <v>0</v>
      </c>
      <c r="J28" s="82">
        <f>IF(AND(C33=S16,D33&lt;&gt;0),1,IF(C29=S16,1,0))*D10</f>
        <v>0</v>
      </c>
    </row>
    <row r="29" spans="2:19" s="1" customFormat="1" ht="20.100000000000001" customHeight="1" x14ac:dyDescent="0.25">
      <c r="B29" s="5" t="s">
        <v>102</v>
      </c>
      <c r="C29" s="80" t="s">
        <v>88</v>
      </c>
      <c r="D29" s="85">
        <f>J11-SUM(D30:D33)</f>
        <v>2548</v>
      </c>
      <c r="E29" s="94">
        <f>IF(C29=$S$16,$J$12-2,$J$12)</f>
        <v>897</v>
      </c>
      <c r="F29" s="88">
        <f>IF(D29&lt;&gt;0,1,0)</f>
        <v>1</v>
      </c>
      <c r="G29" s="29" t="s">
        <v>95</v>
      </c>
      <c r="H29" s="71" t="s">
        <v>89</v>
      </c>
      <c r="I29" s="81">
        <f>IF(OR(AND(C29=S16,D29&lt;&gt;0),AND(C30=S16,D30&lt;&gt;0),AND(C31=S16,D31&lt;&gt;0),AND(C32=S16,D32&lt;&gt;0),AND(C33=S16,D33&lt;&gt;0)),J12-2-75,0)</f>
        <v>0</v>
      </c>
      <c r="J29" s="82">
        <f>IF(I29&lt;&gt;0,(IF(C29=S16,2,0)+IF(AND(C29=S16,D29&gt;=1000,D29&lt;1500),1,0)+IF(AND(C29=S16,D29&gt;=1500,D29&lt;2000),2,0)+IF(AND(C29=S16,D29&gt;=2000),3,0)+IF(AND(D30&lt;&gt;0,C30=S16),2,0)+IF(AND(C30=S16,D30&gt;=1000,D30&lt;1500),1,0)+IF(AND(C30=S16,D30&gt;=1500,D30&lt;2000),2,0)+IF(AND(C30=S16,D30&gt;=2000),3,0)+IF(AND(D31&lt;&gt;0,C31=S16),2,0)+IF(AND(C31=S16,D31&gt;=1000,D31&lt;1500),1,0)+IF(AND(C31=S16,D31&gt;=1500,D31&lt;2000),2,0)+IF(AND(C31=S16,D31&gt;=2000),3,0)+IF(AND(D32&lt;&gt;0,C32=S16),2,0)+IF(AND(C32=S16,D32&gt;=1000,D32&lt;1500),1,0)+IF(AND(C32=S16,D32&gt;=1500,D32&lt;2000),2,0)+IF(AND(C32=S16,D32&gt;=2000),3,0)+IF(AND(D33&lt;&gt;0,C33=S16),1,0)+IF(AND(C33=S16,D33&gt;=1000,D33&lt;1500),1,0)+IF(AND(C33=S16,D33&gt;=1500,D33&lt;2000),2,0)+IF(AND(C33=S16,D33&gt;=2000),3,0))*D10,0)</f>
        <v>0</v>
      </c>
    </row>
    <row r="30" spans="2:19" s="1" customFormat="1" ht="20.100000000000001" customHeight="1" x14ac:dyDescent="0.25">
      <c r="B30" s="5" t="s">
        <v>82</v>
      </c>
      <c r="C30" s="80" t="s">
        <v>88</v>
      </c>
      <c r="D30" s="84">
        <v>0</v>
      </c>
      <c r="E30" s="94">
        <f t="shared" ref="E30:E33" si="0">IF(C30=$S$16,$J$12-2,$J$12)</f>
        <v>897</v>
      </c>
      <c r="F30" s="88">
        <f>IF(D30&lt;&gt;0,1,0)</f>
        <v>0</v>
      </c>
      <c r="G30" s="29" t="s">
        <v>96</v>
      </c>
      <c r="H30" s="71" t="s">
        <v>89</v>
      </c>
      <c r="I30" s="81">
        <f>IF(C29=$S$16,D29,0)</f>
        <v>0</v>
      </c>
      <c r="J30" s="82">
        <f>IF(I30&lt;&gt;0,IF(C29=$S$16,2,0)*D10,0)</f>
        <v>0</v>
      </c>
    </row>
    <row r="31" spans="2:19" s="1" customFormat="1" ht="20.100000000000001" customHeight="1" x14ac:dyDescent="0.25">
      <c r="B31" s="5" t="s">
        <v>83</v>
      </c>
      <c r="C31" s="80" t="s">
        <v>88</v>
      </c>
      <c r="D31" s="84">
        <v>0</v>
      </c>
      <c r="E31" s="94">
        <f t="shared" si="0"/>
        <v>897</v>
      </c>
      <c r="F31" s="88">
        <f>IF(D31&lt;&gt;0,1,0)</f>
        <v>0</v>
      </c>
      <c r="G31" s="29" t="s">
        <v>97</v>
      </c>
      <c r="H31" s="71" t="s">
        <v>89</v>
      </c>
      <c r="I31" s="81">
        <f>IF(C30=$S$16,D30,0)</f>
        <v>0</v>
      </c>
      <c r="J31" s="82">
        <f>IF(I31&lt;&gt;0,IF(C30=$S$16,2,0)*D10,0)</f>
        <v>0</v>
      </c>
    </row>
    <row r="32" spans="2:19" s="1" customFormat="1" ht="20.100000000000001" customHeight="1" x14ac:dyDescent="0.25">
      <c r="B32" s="5" t="s">
        <v>84</v>
      </c>
      <c r="C32" s="80" t="s">
        <v>88</v>
      </c>
      <c r="D32" s="84">
        <v>0</v>
      </c>
      <c r="E32" s="94">
        <f t="shared" si="0"/>
        <v>897</v>
      </c>
      <c r="F32" s="88">
        <f>IF(D32&lt;&gt;0,1,0)</f>
        <v>0</v>
      </c>
      <c r="G32" s="29" t="s">
        <v>98</v>
      </c>
      <c r="H32" s="71" t="s">
        <v>89</v>
      </c>
      <c r="I32" s="81">
        <f>IF(C31=$S$16,D31,0)</f>
        <v>0</v>
      </c>
      <c r="J32" s="82">
        <f>IF(I32&lt;&gt;0,IF(C31=$S$16,2,0)*D10,0)</f>
        <v>0</v>
      </c>
    </row>
    <row r="33" spans="2:19" s="1" customFormat="1" ht="20.100000000000001" customHeight="1" thickBot="1" x14ac:dyDescent="0.3">
      <c r="B33" s="119" t="s">
        <v>103</v>
      </c>
      <c r="C33" s="95" t="s">
        <v>88</v>
      </c>
      <c r="D33" s="96">
        <v>0</v>
      </c>
      <c r="E33" s="97">
        <f t="shared" si="0"/>
        <v>897</v>
      </c>
      <c r="F33" s="88">
        <f>IF(D33&lt;&gt;0,1,0)</f>
        <v>0</v>
      </c>
      <c r="G33" s="29" t="s">
        <v>99</v>
      </c>
      <c r="H33" s="71" t="s">
        <v>89</v>
      </c>
      <c r="I33" s="81">
        <f>IF(C32=$S$16,D32,0)</f>
        <v>0</v>
      </c>
      <c r="J33" s="82">
        <f>IF(I33&lt;&gt;0,IF(C32=$S$16,2,0)*D10,0)</f>
        <v>0</v>
      </c>
      <c r="S33" s="1" t="s">
        <v>104</v>
      </c>
    </row>
    <row r="34" spans="2:19" s="1" customFormat="1" ht="20.100000000000001" customHeight="1" x14ac:dyDescent="0.25">
      <c r="G34" s="29" t="s">
        <v>100</v>
      </c>
      <c r="H34" s="71" t="s">
        <v>89</v>
      </c>
      <c r="I34" s="81">
        <f>IF(C33=$S$16,D33,0)</f>
        <v>0</v>
      </c>
      <c r="J34" s="82">
        <f>IF(I34&lt;&gt;0,IF(C33=$S$16,2,0)*D10,0)</f>
        <v>0</v>
      </c>
      <c r="S34" s="1" t="s">
        <v>105</v>
      </c>
    </row>
    <row r="35" spans="2:19" s="1" customFormat="1" ht="20.100000000000001" customHeight="1" thickBot="1" x14ac:dyDescent="0.3">
      <c r="C35" s="52" t="str">
        <f>IF((SUM(F29:F33)/C25)&lt;&gt;1,S33,S34)</f>
        <v>Верно внесены высоты вставок</v>
      </c>
      <c r="D35" s="112">
        <f>IF(C35=S34,1,0)</f>
        <v>1</v>
      </c>
      <c r="G35" s="83"/>
      <c r="H35" s="68"/>
      <c r="I35" s="35"/>
      <c r="J35" s="36"/>
    </row>
    <row r="36" spans="2:19" s="1" customFormat="1" ht="20.100000000000001" customHeight="1" x14ac:dyDescent="0.25">
      <c r="G36" s="16" t="s">
        <v>9</v>
      </c>
      <c r="H36" s="66" t="s">
        <v>36</v>
      </c>
      <c r="I36" s="167" t="s">
        <v>5</v>
      </c>
      <c r="J36" s="168"/>
    </row>
    <row r="37" spans="2:19" s="1" customFormat="1" ht="20.100000000000001" customHeight="1" x14ac:dyDescent="0.25">
      <c r="C37" s="175" t="str">
        <f>IF(OR(AND(C29=S16,D29&lt;130,D29&lt;&gt;0),AND(C30=S16,D30&lt;130,D30&lt;&gt;0),AND(C31=S16,D31&lt;130,D31&lt;&gt;0),AND(C32=S16,D32&lt;130,D32&lt;&gt;0),AND(C33=S16,D33&lt;130,D33&lt;&gt;0)),S39,S40)</f>
        <v xml:space="preserve"> </v>
      </c>
      <c r="D37" s="175"/>
      <c r="G37" s="5" t="s">
        <v>58</v>
      </c>
      <c r="H37" s="70" t="s">
        <v>59</v>
      </c>
      <c r="I37" s="169">
        <f>IF(J8&gt;=1000,D10*1.5,D10)</f>
        <v>2</v>
      </c>
      <c r="J37" s="170"/>
      <c r="S37" s="1" t="s">
        <v>106</v>
      </c>
    </row>
    <row r="38" spans="2:19" s="1" customFormat="1" ht="20.100000000000001" customHeight="1" x14ac:dyDescent="0.25">
      <c r="G38" s="5" t="s">
        <v>17</v>
      </c>
      <c r="H38" s="75" t="s">
        <v>62</v>
      </c>
      <c r="I38" s="132">
        <f>D12</f>
        <v>0</v>
      </c>
      <c r="J38" s="133"/>
      <c r="S38" s="1" t="s">
        <v>21</v>
      </c>
    </row>
    <row r="39" spans="2:19" s="1" customFormat="1" ht="20.100000000000001" customHeight="1" x14ac:dyDescent="0.25">
      <c r="C39" s="175" t="str">
        <f>IF(AND(SUM(F29:F33)/C25=1,D33=0,C25&lt;&gt;1),S52,S53)</f>
        <v xml:space="preserve"> </v>
      </c>
      <c r="D39" s="175"/>
      <c r="G39" s="5" t="s">
        <v>60</v>
      </c>
      <c r="H39" s="70" t="s">
        <v>61</v>
      </c>
      <c r="I39" s="126">
        <f>D16*D10</f>
        <v>0</v>
      </c>
      <c r="J39" s="127"/>
      <c r="S39" s="1" t="s">
        <v>107</v>
      </c>
    </row>
    <row r="40" spans="2:19" s="1" customFormat="1" ht="20.100000000000001" customHeight="1" x14ac:dyDescent="0.25">
      <c r="G40" s="5" t="s">
        <v>18</v>
      </c>
      <c r="H40" s="70" t="s">
        <v>63</v>
      </c>
      <c r="I40" s="132">
        <f>D10*2-D12</f>
        <v>4</v>
      </c>
      <c r="J40" s="133"/>
      <c r="S40" s="1" t="s">
        <v>21</v>
      </c>
    </row>
    <row r="41" spans="2:19" ht="20.100000000000001" customHeight="1" x14ac:dyDescent="0.3">
      <c r="B41" s="1"/>
      <c r="C41" s="1"/>
      <c r="D41" s="1"/>
      <c r="E41" s="1"/>
      <c r="F41" s="1"/>
      <c r="G41" s="5" t="s">
        <v>28</v>
      </c>
      <c r="H41" s="70"/>
      <c r="I41" s="130">
        <f>CEILING((J17-2)*J7/1000,1)</f>
        <v>6</v>
      </c>
      <c r="J41" s="131"/>
      <c r="K41" s="21"/>
    </row>
    <row r="42" spans="2:19" ht="20.100000000000001" customHeight="1" x14ac:dyDescent="0.3">
      <c r="D42" s="112"/>
      <c r="E42" s="112"/>
      <c r="F42" s="1"/>
      <c r="G42" s="5" t="s">
        <v>10</v>
      </c>
      <c r="H42" s="70" t="s">
        <v>64</v>
      </c>
      <c r="I42" s="130">
        <f>CEILING(I16*2/1000,1)</f>
        <v>4</v>
      </c>
      <c r="J42" s="131"/>
    </row>
    <row r="43" spans="2:19" ht="21" customHeight="1" x14ac:dyDescent="0.3">
      <c r="D43" s="112"/>
      <c r="E43" s="112"/>
      <c r="F43" s="1"/>
      <c r="G43" s="31" t="str">
        <f>B18</f>
        <v>Уплотнитель полиуретановый на боковую поверхность двери</v>
      </c>
      <c r="H43" s="73" t="s">
        <v>56</v>
      </c>
      <c r="I43" s="163">
        <f>IF(D18=S20,CEILING(J17*J7/1000,1),0)</f>
        <v>11</v>
      </c>
      <c r="J43" s="164"/>
    </row>
    <row r="44" spans="2:19" ht="21" customHeight="1" x14ac:dyDescent="0.3">
      <c r="D44" s="112"/>
      <c r="E44" s="112"/>
      <c r="F44" s="1"/>
      <c r="G44" s="74" t="s">
        <v>35</v>
      </c>
      <c r="H44" s="70" t="s">
        <v>57</v>
      </c>
      <c r="I44" s="136">
        <f>IF(B21=S11,ROUND((D16+E17)*D10*4+(J8/300+1)*((D15+D14+D13)*2),1),0)</f>
        <v>0</v>
      </c>
      <c r="J44" s="137"/>
    </row>
    <row r="45" spans="2:19" ht="21" customHeight="1" x14ac:dyDescent="0.3">
      <c r="D45" s="112"/>
      <c r="E45" s="112"/>
      <c r="F45" s="1"/>
      <c r="G45" s="74" t="s">
        <v>91</v>
      </c>
      <c r="H45" s="70" t="s">
        <v>93</v>
      </c>
      <c r="I45" s="136">
        <f>J28*4+J29*2</f>
        <v>0</v>
      </c>
      <c r="J45" s="137"/>
      <c r="S45" s="109" t="s">
        <v>109</v>
      </c>
    </row>
    <row r="46" spans="2:19" ht="21" customHeight="1" x14ac:dyDescent="0.3">
      <c r="D46" s="112"/>
      <c r="E46" s="112"/>
      <c r="F46" s="1"/>
      <c r="G46" s="114" t="s">
        <v>120</v>
      </c>
      <c r="H46" s="71" t="s">
        <v>116</v>
      </c>
      <c r="I46" s="138">
        <f>CEILING(SUM(I30*J30,I31*J31,I32*J32,I33*J33,I34*J34)/1000,1)</f>
        <v>0</v>
      </c>
      <c r="J46" s="139"/>
      <c r="S46" s="109" t="s">
        <v>110</v>
      </c>
    </row>
    <row r="47" spans="2:19" ht="20.100000000000001" customHeight="1" x14ac:dyDescent="0.3">
      <c r="B47" s="1"/>
      <c r="C47" s="1"/>
      <c r="D47" s="1"/>
      <c r="E47" s="1"/>
      <c r="F47" s="1"/>
      <c r="G47" s="5" t="s">
        <v>77</v>
      </c>
      <c r="H47" s="70"/>
      <c r="I47" s="132">
        <f>I18*J18/250</f>
        <v>14.256</v>
      </c>
      <c r="J47" s="133"/>
      <c r="S47" s="109" t="s">
        <v>111</v>
      </c>
    </row>
    <row r="48" spans="2:19" ht="20.100000000000001" customHeight="1" x14ac:dyDescent="0.3">
      <c r="C48" s="1"/>
      <c r="D48" s="1"/>
      <c r="E48" s="1"/>
      <c r="F48" s="1"/>
      <c r="G48" s="29" t="s">
        <v>78</v>
      </c>
      <c r="H48" s="70"/>
      <c r="I48" s="134">
        <f>IF(C29=S15,(D29/250)*2*D10+IF(D33&lt;&gt;0,(E29/250)*D10,0)+I37*4+(D29/300)*2*J21,0)+IF(AND(C30=S15,D30&lt;&gt;0),(D30/250)*2*D10+(E30/250)*D10*2+(D30/300)*2*J21,0)+IF(AND(C31=S15,D31&lt;&gt;0),(D31/250)*2*D10+(E31/250)*D10*2+(D31/300)*2*J21,0)+IF(AND(C32=S15,D32&lt;&gt;0),(D32/250)*2*D10+(E32/250)*D10*2+(D32/300)*2*J21,0)+IF(AND(C33=S15,D33&lt;&gt;0),(D33/250)*2*D10+(E33/250)*D10*2+(D33/300)*2*J21+I37*8,0)+I19*J19/250+I20*J20/250</f>
        <v>116.71466666666667</v>
      </c>
      <c r="J48" s="135"/>
      <c r="S48" s="109" t="s">
        <v>112</v>
      </c>
    </row>
    <row r="49" spans="3:19" ht="20.100000000000001" customHeight="1" x14ac:dyDescent="0.3">
      <c r="C49" s="1"/>
      <c r="D49" s="1"/>
      <c r="E49" s="1"/>
      <c r="F49" s="1"/>
      <c r="G49" s="5" t="s">
        <v>79</v>
      </c>
      <c r="H49" s="70"/>
      <c r="I49" s="126">
        <f>J24*2</f>
        <v>0</v>
      </c>
      <c r="J49" s="127"/>
      <c r="S49" s="109" t="s">
        <v>113</v>
      </c>
    </row>
    <row r="50" spans="3:19" ht="20.100000000000001" customHeight="1" thickBot="1" x14ac:dyDescent="0.35">
      <c r="C50" s="1"/>
      <c r="D50" s="1"/>
      <c r="E50" s="1"/>
      <c r="F50" s="1"/>
      <c r="G50" s="6" t="s">
        <v>80</v>
      </c>
      <c r="H50" s="72"/>
      <c r="I50" s="128">
        <f>(J23*2+I22*J22/250+D16*2*D10)+IF(C29=S16,(D29/250)*2*D10+IF(D33&lt;&gt;0,(E29/250)*D10,0)+I37*4+(D29/300)*2*J21,0)+IF(AND(C30=S16,D30&lt;&gt;0),(D30/250)*2*D10+(E30/250)*D10*2+(D30/300)*2*J21,0)+IF(AND(C31=S16,D31&lt;&gt;0),(D31/250)*2*D10+(E31/250)*D10*2+(D31/300)*2*J21,0)+IF(AND(C32=S16,D32&lt;&gt;0),(D32/250)*2*D10+(E32/250)*D10*2+(D32/300)*2*J21,0)+IF(AND(C33=S16,D33&lt;&gt;0),(D33/250)*2*D10+(E33/250)*D10*2+(D33/300)*2*J21+I37*8,0)</f>
        <v>0</v>
      </c>
      <c r="J50" s="129"/>
    </row>
    <row r="51" spans="3:19" ht="20.100000000000001" customHeight="1" x14ac:dyDescent="0.3">
      <c r="C51" s="1"/>
      <c r="D51" s="1"/>
      <c r="E51" s="1"/>
      <c r="F51" s="1"/>
      <c r="S51" s="21"/>
    </row>
    <row r="52" spans="3:19" ht="20.100000000000001" customHeight="1" x14ac:dyDescent="0.3">
      <c r="C52" s="19"/>
      <c r="D52" s="19"/>
      <c r="E52" s="4"/>
      <c r="S52" s="4" t="s">
        <v>121</v>
      </c>
    </row>
    <row r="53" spans="3:19" x14ac:dyDescent="0.3">
      <c r="J53" s="63" t="s">
        <v>34</v>
      </c>
      <c r="S53" s="4" t="s">
        <v>21</v>
      </c>
    </row>
    <row r="54" spans="3:19" ht="21" x14ac:dyDescent="0.35">
      <c r="F54" s="17"/>
      <c r="G54" s="76"/>
      <c r="H54" s="76"/>
      <c r="I54" s="76"/>
    </row>
  </sheetData>
  <sheetProtection password="CC59" sheet="1" objects="1" scenarios="1"/>
  <mergeCells count="48">
    <mergeCell ref="B20:C20"/>
    <mergeCell ref="I39:J39"/>
    <mergeCell ref="I43:J43"/>
    <mergeCell ref="D15:E15"/>
    <mergeCell ref="D13:E13"/>
    <mergeCell ref="I36:J36"/>
    <mergeCell ref="D14:E14"/>
    <mergeCell ref="D16:E16"/>
    <mergeCell ref="I38:J38"/>
    <mergeCell ref="I37:J37"/>
    <mergeCell ref="I40:J40"/>
    <mergeCell ref="D18:E18"/>
    <mergeCell ref="B21:C21"/>
    <mergeCell ref="C37:D37"/>
    <mergeCell ref="C39:D39"/>
    <mergeCell ref="D25:E25"/>
    <mergeCell ref="B2:J3"/>
    <mergeCell ref="B5:E5"/>
    <mergeCell ref="D12:E12"/>
    <mergeCell ref="G7:H8"/>
    <mergeCell ref="G11:H12"/>
    <mergeCell ref="G5:J5"/>
    <mergeCell ref="B7:C7"/>
    <mergeCell ref="B8:C8"/>
    <mergeCell ref="B10:C10"/>
    <mergeCell ref="D7:E7"/>
    <mergeCell ref="D8:E8"/>
    <mergeCell ref="D10:E10"/>
    <mergeCell ref="B9:C9"/>
    <mergeCell ref="D9:E9"/>
    <mergeCell ref="D11:E11"/>
    <mergeCell ref="B11:C11"/>
    <mergeCell ref="I49:J49"/>
    <mergeCell ref="I50:J50"/>
    <mergeCell ref="I41:J41"/>
    <mergeCell ref="I42:J42"/>
    <mergeCell ref="I47:J47"/>
    <mergeCell ref="I48:J48"/>
    <mergeCell ref="I45:J45"/>
    <mergeCell ref="I44:J44"/>
    <mergeCell ref="I46:J46"/>
    <mergeCell ref="B12:C12"/>
    <mergeCell ref="B13:C13"/>
    <mergeCell ref="B14:C14"/>
    <mergeCell ref="B15:C15"/>
    <mergeCell ref="B18:C18"/>
    <mergeCell ref="B16:C16"/>
    <mergeCell ref="B17:C17"/>
  </mergeCells>
  <conditionalFormatting sqref="C35">
    <cfRule type="expression" dxfId="14" priority="5">
      <formula>$C$35=$S$33</formula>
    </cfRule>
    <cfRule type="expression" dxfId="13" priority="6">
      <formula>$C$35=$S$34</formula>
    </cfRule>
  </conditionalFormatting>
  <conditionalFormatting sqref="D25">
    <cfRule type="expression" dxfId="12" priority="3">
      <formula>$D$25=$S$37</formula>
    </cfRule>
  </conditionalFormatting>
  <conditionalFormatting sqref="C37">
    <cfRule type="expression" dxfId="11" priority="2">
      <formula>$C$37=$S$39</formula>
    </cfRule>
  </conditionalFormatting>
  <conditionalFormatting sqref="C39">
    <cfRule type="expression" dxfId="10" priority="1">
      <formula>$C$39=$S$52</formula>
    </cfRule>
  </conditionalFormatting>
  <dataValidations count="9">
    <dataValidation type="whole" allowBlank="1" showInputMessage="1" showErrorMessage="1" sqref="D11:E11">
      <formula1>1</formula1>
      <formula2>4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0:E10">
      <formula1>1</formula1>
      <formula2>5</formula2>
    </dataValidation>
    <dataValidation type="whole" operator="greaterThan" allowBlank="1" showInputMessage="1" showErrorMessage="1" sqref="D13:D16 E13:E14">
      <formula1>-1</formula1>
    </dataValidation>
    <dataValidation type="whole" allowBlank="1" showInputMessage="1" showErrorMessage="1" sqref="D12:E12">
      <formula1>-1</formula1>
      <formula2>D10*2</formula2>
    </dataValidation>
    <dataValidation type="list" allowBlank="1" showInputMessage="1" showErrorMessage="1" sqref="B21">
      <formula1>$S$10:$S$11</formula1>
    </dataValidation>
    <dataValidation type="list" allowBlank="1" showInputMessage="1" showErrorMessage="1" sqref="C29:C33">
      <formula1>$S$15:$S$16</formula1>
    </dataValidation>
    <dataValidation type="list" allowBlank="1" showInputMessage="1" showErrorMessage="1" sqref="D9:E9">
      <formula1>$S$45:$S$49</formula1>
    </dataValidation>
    <dataValidation type="list" allowBlank="1" showInputMessage="1" showErrorMessage="1" sqref="D18:E18">
      <formula1>$S$20:$S$21</formula1>
    </dataValidation>
  </dataValidations>
  <hyperlinks>
    <hyperlink ref="J53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ignoredErrors>
    <ignoredError sqref="I5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zoomScale="70" zoomScaleNormal="70" workbookViewId="0"/>
  </sheetViews>
  <sheetFormatPr defaultColWidth="9.140625" defaultRowHeight="18.75" x14ac:dyDescent="0.3"/>
  <cols>
    <col min="1" max="1" width="7.28515625" style="4" customWidth="1"/>
    <col min="2" max="3" width="42.7109375" style="4" customWidth="1"/>
    <col min="4" max="4" width="13.42578125" style="2" customWidth="1"/>
    <col min="5" max="5" width="14.7109375" style="2" customWidth="1"/>
    <col min="6" max="6" width="3.7109375" style="4" customWidth="1"/>
    <col min="7" max="7" width="77" style="4" customWidth="1"/>
    <col min="8" max="8" width="27.7109375" style="4" customWidth="1"/>
    <col min="9" max="9" width="16.7109375" style="4" customWidth="1"/>
    <col min="10" max="10" width="13.42578125" style="4" customWidth="1"/>
    <col min="11" max="16384" width="9.140625" style="4"/>
  </cols>
  <sheetData>
    <row r="1" spans="2:10" x14ac:dyDescent="0.3">
      <c r="C1" s="50"/>
    </row>
    <row r="2" spans="2:10" s="1" customFormat="1" ht="27.6" customHeight="1" x14ac:dyDescent="0.25">
      <c r="B2" s="178" t="s">
        <v>16</v>
      </c>
      <c r="C2" s="178"/>
      <c r="D2" s="178"/>
      <c r="E2" s="178"/>
      <c r="F2" s="178"/>
      <c r="G2" s="178"/>
      <c r="H2" s="178"/>
      <c r="I2" s="178"/>
      <c r="J2" s="178"/>
    </row>
    <row r="3" spans="2:10" s="13" customFormat="1" ht="26.1" customHeight="1" x14ac:dyDescent="0.25">
      <c r="B3" s="178"/>
      <c r="C3" s="178"/>
      <c r="D3" s="178"/>
      <c r="E3" s="178"/>
      <c r="F3" s="178"/>
      <c r="G3" s="178"/>
      <c r="H3" s="178"/>
      <c r="I3" s="178"/>
      <c r="J3" s="178"/>
    </row>
    <row r="4" spans="2:10" s="13" customFormat="1" ht="20.100000000000001" customHeight="1" x14ac:dyDescent="0.3">
      <c r="C4" s="14"/>
      <c r="D4" s="14"/>
      <c r="E4" s="14"/>
      <c r="G4" s="17"/>
      <c r="H4" s="17"/>
      <c r="I4" s="17"/>
      <c r="J4" s="17"/>
    </row>
    <row r="5" spans="2:10" s="13" customFormat="1" ht="20.100000000000001" customHeight="1" x14ac:dyDescent="0.25">
      <c r="B5" s="141" t="s">
        <v>12</v>
      </c>
      <c r="C5" s="141"/>
      <c r="D5" s="141"/>
      <c r="E5" s="141"/>
      <c r="G5" s="141" t="s">
        <v>11</v>
      </c>
      <c r="H5" s="141"/>
      <c r="I5" s="141"/>
      <c r="J5" s="141"/>
    </row>
    <row r="6" spans="2:10" s="13" customFormat="1" ht="20.100000000000001" customHeight="1" thickBot="1" x14ac:dyDescent="0.3">
      <c r="C6" s="22"/>
      <c r="D6" s="22"/>
      <c r="E6" s="22"/>
      <c r="G6" s="22"/>
      <c r="H6" s="22"/>
      <c r="I6" s="22"/>
      <c r="J6" s="22"/>
    </row>
    <row r="7" spans="2:10" s="1" customFormat="1" ht="20.100000000000001" customHeight="1" x14ac:dyDescent="0.25">
      <c r="B7" s="179" t="s">
        <v>25</v>
      </c>
      <c r="C7" s="185"/>
      <c r="D7" s="154">
        <v>2200</v>
      </c>
      <c r="E7" s="155"/>
      <c r="G7" s="144" t="s">
        <v>8</v>
      </c>
      <c r="H7" s="145"/>
      <c r="I7" s="8" t="s">
        <v>6</v>
      </c>
      <c r="J7" s="39">
        <f>D7-10+16</f>
        <v>2206</v>
      </c>
    </row>
    <row r="8" spans="2:10" s="1" customFormat="1" ht="20.100000000000001" customHeight="1" thickBot="1" x14ac:dyDescent="0.3">
      <c r="B8" s="186" t="s">
        <v>22</v>
      </c>
      <c r="C8" s="187"/>
      <c r="D8" s="156">
        <v>1800</v>
      </c>
      <c r="E8" s="157"/>
      <c r="G8" s="146"/>
      <c r="H8" s="147"/>
      <c r="I8" s="20" t="s">
        <v>7</v>
      </c>
      <c r="J8" s="40">
        <f>IF(D9='Видимый верхний трек'!S48,(D8+D11*12)/D10,(D8+D11*12)/D10)</f>
        <v>906</v>
      </c>
    </row>
    <row r="9" spans="2:10" s="1" customFormat="1" ht="20.100000000000001" customHeight="1" x14ac:dyDescent="0.25">
      <c r="B9" s="160" t="s">
        <v>114</v>
      </c>
      <c r="C9" s="161"/>
      <c r="D9" s="156" t="s">
        <v>109</v>
      </c>
      <c r="E9" s="157"/>
      <c r="G9" s="11"/>
      <c r="H9" s="11"/>
      <c r="I9" s="18"/>
      <c r="J9" s="110"/>
    </row>
    <row r="10" spans="2:10" s="1" customFormat="1" ht="20.100000000000001" customHeight="1" thickBot="1" x14ac:dyDescent="0.3">
      <c r="B10" s="186" t="s">
        <v>1</v>
      </c>
      <c r="C10" s="187"/>
      <c r="D10" s="158">
        <f>IF(D9='Видимый верхний трек'!S45,2,IF(D9='Видимый верхний трек'!S46,3,IF(D9='Видимый верхний трек'!S47,4,IF(D9='Видимый верхний трек'!S48,4,IF(D9='Видимый верхний трек'!S49,5)))))</f>
        <v>2</v>
      </c>
      <c r="E10" s="159"/>
      <c r="G10" s="11"/>
      <c r="H10" s="11"/>
      <c r="I10" s="18"/>
      <c r="J10" s="41"/>
    </row>
    <row r="11" spans="2:10" s="1" customFormat="1" ht="20.100000000000001" customHeight="1" x14ac:dyDescent="0.3">
      <c r="B11" s="186" t="s">
        <v>2</v>
      </c>
      <c r="C11" s="187"/>
      <c r="D11" s="158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59"/>
      <c r="G11" s="148" t="s">
        <v>115</v>
      </c>
      <c r="H11" s="149"/>
      <c r="I11" s="24" t="s">
        <v>13</v>
      </c>
      <c r="J11" s="39">
        <f>J7-1.6*D13-26*D14-3.5*2-D15*26</f>
        <v>2199</v>
      </c>
    </row>
    <row r="12" spans="2:10" s="1" customFormat="1" ht="20.100000000000001" customHeight="1" thickBot="1" x14ac:dyDescent="0.3">
      <c r="B12" s="186" t="s">
        <v>19</v>
      </c>
      <c r="C12" s="187"/>
      <c r="D12" s="142">
        <v>0</v>
      </c>
      <c r="E12" s="143"/>
      <c r="G12" s="150"/>
      <c r="H12" s="151"/>
      <c r="I12" s="20" t="s">
        <v>7</v>
      </c>
      <c r="J12" s="40">
        <f>J8-4</f>
        <v>902</v>
      </c>
    </row>
    <row r="13" spans="2:10" s="1" customFormat="1" ht="20.100000000000001" customHeight="1" thickBot="1" x14ac:dyDescent="0.3">
      <c r="B13" s="183" t="s">
        <v>30</v>
      </c>
      <c r="C13" s="184"/>
      <c r="D13" s="165">
        <v>0</v>
      </c>
      <c r="E13" s="166"/>
      <c r="G13" s="11"/>
      <c r="H13" s="11"/>
      <c r="I13" s="12"/>
      <c r="J13" s="23"/>
    </row>
    <row r="14" spans="2:10" s="1" customFormat="1" ht="20.100000000000001" customHeight="1" x14ac:dyDescent="0.25">
      <c r="B14" s="183" t="s">
        <v>31</v>
      </c>
      <c r="C14" s="184"/>
      <c r="D14" s="142">
        <v>0</v>
      </c>
      <c r="E14" s="143"/>
      <c r="G14" s="10" t="s">
        <v>3</v>
      </c>
      <c r="H14" s="66" t="s">
        <v>36</v>
      </c>
      <c r="I14" s="8" t="s">
        <v>4</v>
      </c>
      <c r="J14" s="9" t="s">
        <v>5</v>
      </c>
    </row>
    <row r="15" spans="2:10" s="1" customFormat="1" ht="20.100000000000001" customHeight="1" x14ac:dyDescent="0.25">
      <c r="B15" s="183" t="s">
        <v>32</v>
      </c>
      <c r="C15" s="184"/>
      <c r="D15" s="165">
        <v>0</v>
      </c>
      <c r="E15" s="166"/>
      <c r="G15" s="15" t="s">
        <v>37</v>
      </c>
      <c r="H15" s="70" t="s">
        <v>38</v>
      </c>
      <c r="I15" s="49">
        <f>D8-2-32</f>
        <v>1766</v>
      </c>
      <c r="J15" s="43">
        <v>1</v>
      </c>
    </row>
    <row r="16" spans="2:10" s="1" customFormat="1" ht="20.100000000000001" customHeight="1" x14ac:dyDescent="0.25">
      <c r="B16" s="183" t="s">
        <v>29</v>
      </c>
      <c r="C16" s="184"/>
      <c r="D16" s="190">
        <v>0</v>
      </c>
      <c r="E16" s="191"/>
      <c r="G16" s="15" t="s">
        <v>39</v>
      </c>
      <c r="H16" s="70" t="s">
        <v>40</v>
      </c>
      <c r="I16" s="49">
        <f>D8-2</f>
        <v>1798</v>
      </c>
      <c r="J16" s="43">
        <v>1</v>
      </c>
    </row>
    <row r="17" spans="2:10" s="1" customFormat="1" ht="20.100000000000001" customHeight="1" thickBot="1" x14ac:dyDescent="0.3">
      <c r="B17" s="124" t="s">
        <v>33</v>
      </c>
      <c r="C17" s="125"/>
      <c r="D17" s="32">
        <v>140</v>
      </c>
      <c r="E17" s="33">
        <v>0</v>
      </c>
      <c r="G17" s="5" t="s">
        <v>41</v>
      </c>
      <c r="H17" s="70" t="s">
        <v>42</v>
      </c>
      <c r="I17" s="44">
        <f>J7</f>
        <v>2206</v>
      </c>
      <c r="J17" s="45">
        <f>D10*2</f>
        <v>4</v>
      </c>
    </row>
    <row r="18" spans="2:10" s="1" customFormat="1" ht="20.100000000000001" customHeight="1" thickBot="1" x14ac:dyDescent="0.3">
      <c r="E18" s="38"/>
      <c r="G18" s="5" t="s">
        <v>43</v>
      </c>
      <c r="H18" s="70" t="s">
        <v>44</v>
      </c>
      <c r="I18" s="44">
        <f>J8-2*5</f>
        <v>896</v>
      </c>
      <c r="J18" s="45">
        <f>(D13+2)*D10</f>
        <v>4</v>
      </c>
    </row>
    <row r="19" spans="2:10" s="1" customFormat="1" ht="20.100000000000001" customHeight="1" x14ac:dyDescent="0.25">
      <c r="B19" s="179" t="s">
        <v>67</v>
      </c>
      <c r="C19" s="180"/>
      <c r="G19" s="5" t="s">
        <v>45</v>
      </c>
      <c r="H19" s="67" t="s">
        <v>46</v>
      </c>
      <c r="I19" s="44">
        <f>IF(J19&lt;&gt;0,I18,0)</f>
        <v>0</v>
      </c>
      <c r="J19" s="45">
        <f>D14*D10-IF(D14&gt;0,IF(E17&gt;0,D10,IF(D16&gt;0,D10,0)),0)</f>
        <v>0</v>
      </c>
    </row>
    <row r="20" spans="2:10" s="1" customFormat="1" ht="20.100000000000001" customHeight="1" thickBot="1" x14ac:dyDescent="0.3">
      <c r="B20" s="181" t="s">
        <v>35</v>
      </c>
      <c r="C20" s="182"/>
      <c r="G20" s="5" t="s">
        <v>47</v>
      </c>
      <c r="H20" s="67" t="s">
        <v>46</v>
      </c>
      <c r="I20" s="44">
        <f>IF(J20&lt;&gt;0,I18-D17*E17-200*D16,0)</f>
        <v>0</v>
      </c>
      <c r="J20" s="45">
        <f>IF(D14&gt;0,IF(E17&gt;0,D10,IF(D16&gt;0,D10,0)),0)</f>
        <v>0</v>
      </c>
    </row>
    <row r="21" spans="2:10" s="1" customFormat="1" ht="20.100000000000001" customHeight="1" x14ac:dyDescent="0.25">
      <c r="G21" s="5" t="s">
        <v>65</v>
      </c>
      <c r="H21" s="67" t="s">
        <v>49</v>
      </c>
      <c r="I21" s="46">
        <f>J7-20</f>
        <v>2186</v>
      </c>
      <c r="J21" s="47">
        <f>IF(J8&lt;1000,D10*2,D10*3)</f>
        <v>4</v>
      </c>
    </row>
    <row r="22" spans="2:10" s="1" customFormat="1" ht="20.100000000000001" customHeight="1" x14ac:dyDescent="0.25">
      <c r="B22" s="189" t="s">
        <v>20</v>
      </c>
      <c r="C22" s="189"/>
      <c r="D22" s="189"/>
      <c r="G22" s="5" t="s">
        <v>50</v>
      </c>
      <c r="H22" s="71" t="s">
        <v>51</v>
      </c>
      <c r="I22" s="46">
        <f>IF(D15&lt;&gt;0,I18,0)</f>
        <v>0</v>
      </c>
      <c r="J22" s="47">
        <f>D15*D10</f>
        <v>0</v>
      </c>
    </row>
    <row r="23" spans="2:10" s="1" customFormat="1" ht="20.100000000000001" customHeight="1" x14ac:dyDescent="0.25">
      <c r="B23" s="189" t="s">
        <v>26</v>
      </c>
      <c r="C23" s="189"/>
      <c r="D23" s="189"/>
      <c r="G23" s="5" t="s">
        <v>66</v>
      </c>
      <c r="H23" s="71" t="s">
        <v>51</v>
      </c>
      <c r="I23" s="44">
        <f>IF(E17&lt;&gt;0,D17,0)</f>
        <v>0</v>
      </c>
      <c r="J23" s="45">
        <f>E17*D10</f>
        <v>0</v>
      </c>
    </row>
    <row r="24" spans="2:10" s="1" customFormat="1" ht="20.100000000000001" customHeight="1" thickBot="1" x14ac:dyDescent="0.3">
      <c r="G24" s="5" t="s">
        <v>53</v>
      </c>
      <c r="H24" s="71" t="s">
        <v>54</v>
      </c>
      <c r="I24" s="44">
        <f>IF(OR(E17&lt;&gt;0,D15&lt;&gt;0),23,0)</f>
        <v>0</v>
      </c>
      <c r="J24" s="45">
        <f>(E17+D15)*2*D10</f>
        <v>0</v>
      </c>
    </row>
    <row r="25" spans="2:10" s="1" customFormat="1" ht="20.100000000000001" customHeight="1" thickBot="1" x14ac:dyDescent="0.35">
      <c r="B25" s="86" t="s">
        <v>101</v>
      </c>
      <c r="C25" s="87">
        <f>SUM(D13:D15)+1</f>
        <v>1</v>
      </c>
      <c r="D25" s="176" t="str">
        <f>IF(C25&gt;5,'Видимый верхний трек'!S37,'Видимый верхний трек'!S38)</f>
        <v xml:space="preserve"> </v>
      </c>
      <c r="E25" s="189"/>
      <c r="G25" s="48" t="s">
        <v>108</v>
      </c>
      <c r="H25" s="71" t="s">
        <v>55</v>
      </c>
      <c r="I25" s="81">
        <f>IF(AND(B20='Видимый верхний трек'!S10,OR(D13&lt;&gt;0,D14&lt;&gt;0,D15&lt;&gt;0)),150,0)</f>
        <v>0</v>
      </c>
      <c r="J25" s="45">
        <f>IF(B20='Видимый верхний трек'!S10,(D13*2+J19+J20+J22)*2,0)</f>
        <v>0</v>
      </c>
    </row>
    <row r="26" spans="2:10" s="1" customFormat="1" ht="20.100000000000001" customHeight="1" x14ac:dyDescent="0.25">
      <c r="G26" s="29" t="s">
        <v>108</v>
      </c>
      <c r="H26" s="71" t="s">
        <v>55</v>
      </c>
      <c r="I26" s="44">
        <f>IF(AND(B20='Видимый верхний трек'!S10,OR(D13&lt;&gt;0,D14&lt;&gt;0,D15&lt;&gt;0),J8&lt;1000),J8-45-300-80,0)</f>
        <v>0</v>
      </c>
      <c r="J26" s="45">
        <f>IF(AND(J8&lt;1000,B20='Видимый верхний трек'!S10),(D14+D13+D15)*D10,0)</f>
        <v>0</v>
      </c>
    </row>
    <row r="27" spans="2:10" s="1" customFormat="1" ht="20.100000000000001" customHeight="1" thickBot="1" x14ac:dyDescent="0.3">
      <c r="G27" s="29" t="s">
        <v>108</v>
      </c>
      <c r="H27" s="71" t="s">
        <v>55</v>
      </c>
      <c r="I27" s="44">
        <f>IF(AND(B20='Видимый верхний трек'!S10,OR(D13&lt;&gt;0,D14&lt;&gt;0,D15&lt;&gt;0),J8&gt;=1000),(J8-45-300-120)/2,0)</f>
        <v>0</v>
      </c>
      <c r="J27" s="45">
        <f>IF(AND(J8&gt;=1000,B21=S10),(D14+D13+D15)*D10*2,0)</f>
        <v>0</v>
      </c>
    </row>
    <row r="28" spans="2:10" s="1" customFormat="1" ht="20.100000000000001" customHeight="1" x14ac:dyDescent="0.25">
      <c r="B28" s="91" t="s">
        <v>81</v>
      </c>
      <c r="C28" s="92" t="s">
        <v>85</v>
      </c>
      <c r="D28" s="92" t="s">
        <v>86</v>
      </c>
      <c r="E28" s="93" t="s">
        <v>87</v>
      </c>
      <c r="G28" s="29" t="s">
        <v>94</v>
      </c>
      <c r="H28" s="71" t="s">
        <v>90</v>
      </c>
      <c r="I28" s="81">
        <f>IF(OR(AND(C33='Видимый верхний трек'!S16,D33&lt;&gt;0),C29='Видимый верхний трек'!S16),J12-2-75,0)</f>
        <v>0</v>
      </c>
      <c r="J28" s="82">
        <f>IF(OR(AND(C29='Видимый верхний трек'!S16,D33=0),AND(C33='Видимый верхний трек'!S16,D33&lt;&gt;0,C29='Видимый верхний трек'!S16,D29&lt;&gt;0)),2,IF(OR(C29='Видимый верхний трек'!S16,AND(C33='Видимый верхний трек'!S16,D33&lt;&gt;0)),1,0))*D10</f>
        <v>0</v>
      </c>
    </row>
    <row r="29" spans="2:10" s="1" customFormat="1" ht="20.100000000000001" customHeight="1" x14ac:dyDescent="0.25">
      <c r="B29" s="5" t="s">
        <v>102</v>
      </c>
      <c r="C29" s="80" t="s">
        <v>88</v>
      </c>
      <c r="D29" s="85">
        <f>J11-SUM(D30:D33)</f>
        <v>2199</v>
      </c>
      <c r="E29" s="94">
        <f>IF(C29='Видимый верхний трек'!S16,$J$12-2,$J$12)</f>
        <v>902</v>
      </c>
      <c r="F29" s="88">
        <f>IF(D29&lt;&gt;0,1,0)</f>
        <v>1</v>
      </c>
      <c r="G29" s="29" t="s">
        <v>95</v>
      </c>
      <c r="H29" s="71" t="s">
        <v>89</v>
      </c>
      <c r="I29" s="81">
        <f>IF(OR(AND(C29='Видимый верхний трек'!S16,D29&lt;&gt;0),AND(C30='Видимый верхний трек'!S16,D30&lt;&gt;0),AND(C31='Видимый верхний трек'!S16,D31&lt;&gt;0),AND(C32='Видимый верхний трек'!S16,D32&lt;&gt;0),AND(C33='Видимый верхний трек'!S16,D33&lt;&gt;0)),J12-2-75,0)</f>
        <v>0</v>
      </c>
      <c r="J29" s="82">
        <f>IF(I29&lt;&gt;0,(IF(C29='Видимый верхний трек'!S16,1,0)+IF(AND(C29='Видимый верхний трек'!S16,D29&gt;=1000,D29&lt;1500),1,0)+IF(AND(C29='Видимый верхний трек'!S16,D29&gt;=1500,D29&lt;2000),2,0)+IF(AND(C29='Видимый верхний трек'!S16,D29&gt;=2000),3,0)+IF(AND(D30&lt;&gt;0,C30='Видимый верхний трек'!S16),2,0)+IF(AND(C30='Видимый верхний трек'!S16,D30&gt;=1000,D30&lt;1500),1,0)+IF(AND(C30='Видимый верхний трек'!S16,D30&gt;=1500,D30&lt;2000),2,0)+IF(AND(C30='Видимый верхний трек'!S16,D30&gt;=2000),3,0)+IF(AND(D31&lt;&gt;0,C31='Видимый верхний трек'!S16),2,0)+IF(AND(C31='Видимый верхний трек'!S16,D31&gt;=1000,D31&lt;1500),1,0)+IF(AND(C31='Видимый верхний трек'!S16,D31&gt;=1500,D31&lt;2000),2,0)+IF(AND(C31='Видимый верхний трек'!S16,D31&gt;=2000),3,0)+IF(AND(D32&lt;&gt;0,C32='Видимый верхний трек'!S16),2,0)+IF(AND(C32='Видимый верхний трек'!S16,D32&gt;=1000,D32&lt;1500),1,0)+IF(AND(C32='Видимый верхний трек'!S16,D32&gt;=1500,D32&lt;2000),2,0)+IF(AND(C32='Видимый верхний трек'!S16,D32&gt;=2000),3,0)+IF(AND(D33&lt;&gt;0,C33='Видимый верхний трек'!S16),1,0)+IF(AND(C33='Видимый верхний трек'!S16,D33&gt;=1000,D33&lt;1500),1,0)+IF(AND(C33='Видимый верхний трек'!S16,D33&gt;=1500,D33&lt;2000),2,0)+IF(AND(C33='Видимый верхний трек'!S16,D33&gt;=2000),3,0))*D10,0)</f>
        <v>0</v>
      </c>
    </row>
    <row r="30" spans="2:10" s="1" customFormat="1" ht="20.100000000000001" customHeight="1" x14ac:dyDescent="0.25">
      <c r="B30" s="5" t="s">
        <v>82</v>
      </c>
      <c r="C30" s="80" t="s">
        <v>88</v>
      </c>
      <c r="D30" s="84">
        <v>0</v>
      </c>
      <c r="E30" s="94">
        <f>IF(C30='Видимый верхний трек'!S16,$J$12-2,$J$12)</f>
        <v>902</v>
      </c>
      <c r="F30" s="88">
        <f t="shared" ref="F30:F33" si="0">IF(D30&lt;&gt;0,1,0)</f>
        <v>0</v>
      </c>
      <c r="G30" s="29" t="s">
        <v>96</v>
      </c>
      <c r="H30" s="71" t="s">
        <v>89</v>
      </c>
      <c r="I30" s="81">
        <f>IF(C29='Видимый верхний трек'!S16,D29,0)</f>
        <v>0</v>
      </c>
      <c r="J30" s="82">
        <f>IF(I30&lt;&gt;0,IF(C29='Видимый верхний трек'!S16,2,0)*D10,0)</f>
        <v>0</v>
      </c>
    </row>
    <row r="31" spans="2:10" s="1" customFormat="1" ht="20.100000000000001" customHeight="1" x14ac:dyDescent="0.25">
      <c r="B31" s="5" t="s">
        <v>83</v>
      </c>
      <c r="C31" s="80" t="s">
        <v>88</v>
      </c>
      <c r="D31" s="84">
        <v>0</v>
      </c>
      <c r="E31" s="94">
        <f>IF(C31='Видимый верхний трек'!S16,$J$12-2,$J$12)</f>
        <v>902</v>
      </c>
      <c r="F31" s="88">
        <f t="shared" si="0"/>
        <v>0</v>
      </c>
      <c r="G31" s="29" t="s">
        <v>97</v>
      </c>
      <c r="H31" s="71" t="s">
        <v>89</v>
      </c>
      <c r="I31" s="81">
        <f>IF(C30='Видимый верхний трек'!S16,D30,0)</f>
        <v>0</v>
      </c>
      <c r="J31" s="82">
        <f>IF(I31&lt;&gt;0,IF(C30='Видимый верхний трек'!S16,2,0)*D10,0)</f>
        <v>0</v>
      </c>
    </row>
    <row r="32" spans="2:10" s="1" customFormat="1" ht="20.100000000000001" customHeight="1" x14ac:dyDescent="0.25">
      <c r="B32" s="5" t="s">
        <v>84</v>
      </c>
      <c r="C32" s="80" t="s">
        <v>88</v>
      </c>
      <c r="D32" s="84">
        <v>0</v>
      </c>
      <c r="E32" s="94">
        <f>IF(C32='Видимый верхний трек'!S16,$J$12-2,$J$12)</f>
        <v>902</v>
      </c>
      <c r="F32" s="88">
        <f t="shared" si="0"/>
        <v>0</v>
      </c>
      <c r="G32" s="29" t="s">
        <v>98</v>
      </c>
      <c r="H32" s="71" t="s">
        <v>89</v>
      </c>
      <c r="I32" s="81">
        <f>IF(C31='Видимый верхний трек'!S16,D31,0)</f>
        <v>0</v>
      </c>
      <c r="J32" s="82">
        <f>IF(I32&lt;&gt;0,IF(C31='Видимый верхний трек'!S16,2,0)*D10,0)</f>
        <v>0</v>
      </c>
    </row>
    <row r="33" spans="2:12" s="1" customFormat="1" ht="20.100000000000001" customHeight="1" thickBot="1" x14ac:dyDescent="0.3">
      <c r="B33" s="119" t="s">
        <v>103</v>
      </c>
      <c r="C33" s="95" t="s">
        <v>88</v>
      </c>
      <c r="D33" s="96">
        <v>0</v>
      </c>
      <c r="E33" s="97">
        <f>IF(C33='Видимый верхний трек'!S16,$J$12-2,$J$12)</f>
        <v>902</v>
      </c>
      <c r="F33" s="88">
        <f t="shared" si="0"/>
        <v>0</v>
      </c>
      <c r="G33" s="29" t="s">
        <v>99</v>
      </c>
      <c r="H33" s="71" t="s">
        <v>89</v>
      </c>
      <c r="I33" s="81">
        <f>IF(C32='Видимый верхний трек'!S16,D32,0)</f>
        <v>0</v>
      </c>
      <c r="J33" s="82">
        <f>IF(I33&lt;&gt;0,IF(C32='Видимый верхний трек'!S16,2,0)*D10,0)</f>
        <v>0</v>
      </c>
    </row>
    <row r="34" spans="2:12" s="1" customFormat="1" ht="20.100000000000001" customHeight="1" x14ac:dyDescent="0.25">
      <c r="G34" s="29" t="s">
        <v>100</v>
      </c>
      <c r="H34" s="71" t="s">
        <v>89</v>
      </c>
      <c r="I34" s="81">
        <f>IF(C33='Видимый верхний трек'!S16,D33,0)</f>
        <v>0</v>
      </c>
      <c r="J34" s="82">
        <f>IF(I34&lt;&gt;0,IF(C33='Видимый верхний трек'!S16,2,0)*D10,0)</f>
        <v>0</v>
      </c>
    </row>
    <row r="35" spans="2:12" s="1" customFormat="1" ht="20.100000000000001" customHeight="1" thickBot="1" x14ac:dyDescent="0.3">
      <c r="C35" s="52" t="str">
        <f>IF((SUM(F29:F33)/C25)&lt;&gt;1,'Видимый верхний трек'!S33,'Видимый верхний трек'!S34)</f>
        <v>Верно внесены высоты вставок</v>
      </c>
      <c r="D35" s="89">
        <f>IF(C35='Видимый верхний трек'!S34,1,0)</f>
        <v>1</v>
      </c>
      <c r="G35" s="98"/>
      <c r="H35" s="99"/>
      <c r="I35" s="100"/>
      <c r="J35" s="101"/>
    </row>
    <row r="36" spans="2:12" s="1" customFormat="1" ht="20.100000000000001" customHeight="1" x14ac:dyDescent="0.25">
      <c r="G36" s="16" t="s">
        <v>9</v>
      </c>
      <c r="H36" s="66" t="s">
        <v>36</v>
      </c>
      <c r="I36" s="167" t="s">
        <v>5</v>
      </c>
      <c r="J36" s="168"/>
    </row>
    <row r="37" spans="2:12" s="1" customFormat="1" ht="20.100000000000001" customHeight="1" x14ac:dyDescent="0.25">
      <c r="C37" s="175" t="str">
        <f>IF(OR(AND(C29='Видимый верхний трек'!S16,D29&lt;130,D29&lt;&gt;0),AND(C30='Видимый верхний трек'!S16,D30&lt;130,D30&lt;&gt;0),AND(C31='Видимый верхний трек'!S16,D31&lt;130,D31&lt;&gt;0),AND(C32='Видимый верхний трек'!S16,D32&lt;130,D32&lt;&gt;0),AND(C33='Видимый верхний трек'!S16,D33&lt;130,D33&lt;&gt;0)),'Видимый верхний трек'!S39,'Видимый верхний трек'!S40)</f>
        <v xml:space="preserve"> </v>
      </c>
      <c r="D37" s="175"/>
      <c r="G37" s="5" t="s">
        <v>58</v>
      </c>
      <c r="H37" s="67" t="s">
        <v>59</v>
      </c>
      <c r="I37" s="169">
        <f>IF(J8&gt;=1000,D10*1.5,D10)</f>
        <v>2</v>
      </c>
      <c r="J37" s="170"/>
    </row>
    <row r="38" spans="2:12" s="1" customFormat="1" ht="20.100000000000001" customHeight="1" x14ac:dyDescent="0.25">
      <c r="C38" s="192" t="str">
        <f>IF(AND(SUM(F29:F33)/C25=1,D33=0,C25&lt;&gt;1),'Видимый верхний трек'!S52,'Видимый верхний трек'!S53)</f>
        <v xml:space="preserve"> </v>
      </c>
      <c r="D38" s="192"/>
      <c r="G38" s="5" t="s">
        <v>68</v>
      </c>
      <c r="H38" s="67" t="s">
        <v>69</v>
      </c>
      <c r="I38" s="132">
        <f>D10*2+D12</f>
        <v>4</v>
      </c>
      <c r="J38" s="133"/>
    </row>
    <row r="39" spans="2:12" s="1" customFormat="1" ht="20.100000000000001" customHeight="1" x14ac:dyDescent="0.25">
      <c r="E39" s="51"/>
      <c r="F39" s="51"/>
      <c r="G39" s="5" t="s">
        <v>60</v>
      </c>
      <c r="H39" s="67" t="s">
        <v>61</v>
      </c>
      <c r="I39" s="126">
        <f>D16*D10</f>
        <v>0</v>
      </c>
      <c r="J39" s="127"/>
    </row>
    <row r="40" spans="2:12" s="1" customFormat="1" ht="20.100000000000001" customHeight="1" x14ac:dyDescent="0.25">
      <c r="E40" s="65"/>
      <c r="F40" s="77"/>
      <c r="G40" s="5" t="s">
        <v>17</v>
      </c>
      <c r="H40" s="67" t="s">
        <v>62</v>
      </c>
      <c r="I40" s="132">
        <f>D12</f>
        <v>0</v>
      </c>
      <c r="J40" s="133"/>
    </row>
    <row r="41" spans="2:12" s="1" customFormat="1" ht="20.100000000000001" customHeight="1" x14ac:dyDescent="0.25">
      <c r="G41" s="5" t="s">
        <v>18</v>
      </c>
      <c r="H41" s="67" t="s">
        <v>63</v>
      </c>
      <c r="I41" s="132">
        <f>D10*2-D12</f>
        <v>4</v>
      </c>
      <c r="J41" s="133"/>
    </row>
    <row r="42" spans="2:12" ht="20.100000000000001" customHeight="1" x14ac:dyDescent="0.3">
      <c r="E42" s="1"/>
      <c r="F42" s="1"/>
      <c r="G42" s="5" t="s">
        <v>28</v>
      </c>
      <c r="H42" s="67"/>
      <c r="I42" s="130">
        <f>CEILING((J17-1)*J7/1000,1)</f>
        <v>7</v>
      </c>
      <c r="J42" s="131"/>
    </row>
    <row r="43" spans="2:12" ht="20.100000000000001" customHeight="1" x14ac:dyDescent="0.3">
      <c r="C43" s="188" t="s">
        <v>14</v>
      </c>
      <c r="D43" s="188"/>
      <c r="E43" s="1"/>
      <c r="F43" s="1"/>
      <c r="G43" s="5" t="s">
        <v>10</v>
      </c>
      <c r="H43" s="67" t="s">
        <v>64</v>
      </c>
      <c r="I43" s="130">
        <f>CEILING(I16*2/1000,1)</f>
        <v>4</v>
      </c>
      <c r="J43" s="131"/>
    </row>
    <row r="44" spans="2:12" ht="20.100000000000001" customHeight="1" x14ac:dyDescent="0.3">
      <c r="C44" s="188"/>
      <c r="D44" s="188"/>
      <c r="E44" s="1"/>
      <c r="F44" s="1"/>
      <c r="G44" s="74" t="s">
        <v>35</v>
      </c>
      <c r="H44" s="70" t="s">
        <v>57</v>
      </c>
      <c r="I44" s="126">
        <f>IF(B20='Видимый верхний трек'!S11,ROUND((D16+E17)*D10*4+(J8/300+1)*((D15+D14+D13)*2),1),0)</f>
        <v>0</v>
      </c>
      <c r="J44" s="127"/>
    </row>
    <row r="45" spans="2:12" ht="20.100000000000001" customHeight="1" x14ac:dyDescent="0.3">
      <c r="C45" s="90"/>
      <c r="D45" s="90"/>
      <c r="E45" s="1"/>
      <c r="F45" s="1"/>
      <c r="G45" s="74" t="s">
        <v>91</v>
      </c>
      <c r="H45" s="70" t="s">
        <v>93</v>
      </c>
      <c r="I45" s="136">
        <f>J28*4+J29*2</f>
        <v>0</v>
      </c>
      <c r="J45" s="137"/>
    </row>
    <row r="46" spans="2:12" ht="20.100000000000001" customHeight="1" x14ac:dyDescent="0.3">
      <c r="C46" s="108"/>
      <c r="D46" s="108"/>
      <c r="E46" s="1"/>
      <c r="F46" s="1"/>
      <c r="G46" s="114" t="s">
        <v>120</v>
      </c>
      <c r="H46" s="71" t="s">
        <v>116</v>
      </c>
      <c r="I46" s="138">
        <f>CEILING(SUM(I30*J30,I31*J31,I32*J32,I33*J33,I34*J34)/1000,1)</f>
        <v>0</v>
      </c>
      <c r="J46" s="139"/>
    </row>
    <row r="47" spans="2:12" ht="20.100000000000001" customHeight="1" x14ac:dyDescent="0.3">
      <c r="C47" s="188" t="s">
        <v>27</v>
      </c>
      <c r="D47" s="188"/>
      <c r="E47" s="1"/>
      <c r="F47" s="1"/>
      <c r="G47" s="5" t="s">
        <v>77</v>
      </c>
      <c r="H47" s="67"/>
      <c r="I47" s="126">
        <f>I18*J18/250</f>
        <v>14.336</v>
      </c>
      <c r="J47" s="127"/>
    </row>
    <row r="48" spans="2:12" ht="20.100000000000001" customHeight="1" x14ac:dyDescent="0.3">
      <c r="C48" s="188"/>
      <c r="D48" s="188"/>
      <c r="E48" s="1"/>
      <c r="F48" s="1"/>
      <c r="G48" s="29" t="s">
        <v>78</v>
      </c>
      <c r="H48" s="67"/>
      <c r="I48" s="126">
        <f>IF(C29='Видимый верхний трек'!S15,(D29/250)*2*D10+IF(D33&lt;&gt;0,(E29/250)*D10,0)+I38*8+(D29/300)*2*J21,0)+IF(AND(C30='Видимый верхний трек'!S15,D30&lt;&gt;0),(D30/250)*2*D10+(E30/250)*D10*2+(D30/300)*2*J21,0)+IF(AND(C31='Видимый верхний трек'!S15,D31&lt;&gt;0),(D31/250)*2*D10+(E31/250)*D10*2+(D31/300)*2*J21,0)+IF(AND(C32='Видимый верхний трек'!S15,D32&lt;&gt;0),(D32/250)*2*D10+(E32/250)*D10*2+(D32/300)*2*J21,0)+IF(AND(C33='Видимый верхний трек'!S15,D33&lt;&gt;0),(D33/250)*2*D10+(E33/250)*D10*2+(D33/300)*2*J21+I37*8,0)+I19*J19/250+I20*J20/250</f>
        <v>125.824</v>
      </c>
      <c r="J48" s="127"/>
      <c r="L48" s="102"/>
    </row>
    <row r="49" spans="3:10" ht="20.100000000000001" customHeight="1" x14ac:dyDescent="0.3">
      <c r="C49" s="188"/>
      <c r="D49" s="188"/>
      <c r="E49" s="4"/>
      <c r="G49" s="5" t="s">
        <v>79</v>
      </c>
      <c r="H49" s="67"/>
      <c r="I49" s="126">
        <f>J24*2</f>
        <v>0</v>
      </c>
      <c r="J49" s="127"/>
    </row>
    <row r="50" spans="3:10" ht="20.100000000000001" customHeight="1" thickBot="1" x14ac:dyDescent="0.35">
      <c r="C50" s="188"/>
      <c r="D50" s="188"/>
      <c r="E50" s="4"/>
      <c r="G50" s="6" t="s">
        <v>80</v>
      </c>
      <c r="H50" s="69"/>
      <c r="I50" s="128">
        <f>(J23*2+I22*J22/250+D16*2*D10)+IF(C29='Видимый верхний трек'!S16,(D29/250)*2*D10+IF(D33&lt;&gt;0,(E29/250)*D10,0)+I38*8+(D29/300)*2*J21,0)+IF(AND(C30='Видимый верхний трек'!S16,D30&lt;&gt;0),(D30/250)*2*D10+(E30/250)*D10*2+(D30/300)*2*J21,0)+IF(AND(C31='Видимый верхний трек'!S16,D31&lt;&gt;0),(D31/250)*2*D10+(E31/250)*D10*2+(D31/300)*2*J21,0)+IF(AND(C32='Видимый верхний трек'!S16,D32&lt;&gt;0),(D32/250)*2*D10+(E32/250)*D10*2+(D32/300)*2*J21,0)+IF(AND(C33='Видимый верхний трек'!S16,D33&lt;&gt;0),(D33/250)*2*D10+(E33/250)*D10*2+(D33/300)*2*J21+I37*8,0)</f>
        <v>0</v>
      </c>
      <c r="J50" s="129"/>
    </row>
    <row r="51" spans="3:10" ht="20.100000000000001" customHeight="1" x14ac:dyDescent="0.3">
      <c r="D51" s="4"/>
      <c r="E51" s="4"/>
      <c r="G51" s="3"/>
      <c r="H51" s="30"/>
      <c r="I51" s="27"/>
      <c r="J51" s="28"/>
    </row>
    <row r="52" spans="3:10" ht="20.100000000000001" customHeight="1" x14ac:dyDescent="0.3">
      <c r="D52" s="4"/>
      <c r="E52" s="4"/>
      <c r="J52" s="63" t="s">
        <v>34</v>
      </c>
    </row>
    <row r="53" spans="3:10" ht="36" customHeight="1" x14ac:dyDescent="0.3">
      <c r="D53" s="4"/>
      <c r="E53" s="4"/>
    </row>
    <row r="54" spans="3:10" ht="36" customHeight="1" x14ac:dyDescent="0.3">
      <c r="C54" s="19"/>
      <c r="D54" s="19"/>
      <c r="E54" s="4"/>
    </row>
    <row r="55" spans="3:10" ht="20.100000000000001" hidden="1" customHeight="1" x14ac:dyDescent="0.3"/>
    <row r="58" spans="3:10" x14ac:dyDescent="0.3">
      <c r="G58" s="25"/>
      <c r="H58" s="26"/>
    </row>
  </sheetData>
  <sheetProtection password="CC59" sheet="1" objects="1" scenarios="1"/>
  <mergeCells count="50">
    <mergeCell ref="D15:E15"/>
    <mergeCell ref="I39:J39"/>
    <mergeCell ref="I44:J44"/>
    <mergeCell ref="G11:H12"/>
    <mergeCell ref="B22:D22"/>
    <mergeCell ref="B12:C12"/>
    <mergeCell ref="D14:E14"/>
    <mergeCell ref="B23:D23"/>
    <mergeCell ref="C43:D44"/>
    <mergeCell ref="D16:E16"/>
    <mergeCell ref="C37:D37"/>
    <mergeCell ref="I41:J41"/>
    <mergeCell ref="C38:D38"/>
    <mergeCell ref="G5:J5"/>
    <mergeCell ref="D7:E7"/>
    <mergeCell ref="D8:E8"/>
    <mergeCell ref="G7:H8"/>
    <mergeCell ref="D10:E10"/>
    <mergeCell ref="B9:C9"/>
    <mergeCell ref="I36:J36"/>
    <mergeCell ref="I37:J37"/>
    <mergeCell ref="D13:E13"/>
    <mergeCell ref="C47:D50"/>
    <mergeCell ref="D25:E25"/>
    <mergeCell ref="I45:J45"/>
    <mergeCell ref="I46:J46"/>
    <mergeCell ref="I38:J38"/>
    <mergeCell ref="I40:J40"/>
    <mergeCell ref="I42:J42"/>
    <mergeCell ref="I43:J43"/>
    <mergeCell ref="I48:J48"/>
    <mergeCell ref="I49:J49"/>
    <mergeCell ref="I47:J47"/>
    <mergeCell ref="I50:J50"/>
    <mergeCell ref="B2:J3"/>
    <mergeCell ref="B5:E5"/>
    <mergeCell ref="B19:C19"/>
    <mergeCell ref="B20:C20"/>
    <mergeCell ref="B13:C13"/>
    <mergeCell ref="B14:C14"/>
    <mergeCell ref="B15:C15"/>
    <mergeCell ref="B16:C16"/>
    <mergeCell ref="B17:C17"/>
    <mergeCell ref="B7:C7"/>
    <mergeCell ref="B8:C8"/>
    <mergeCell ref="B10:C10"/>
    <mergeCell ref="B11:C11"/>
    <mergeCell ref="D9:E9"/>
    <mergeCell ref="D11:E11"/>
    <mergeCell ref="D12:E12"/>
  </mergeCells>
  <dataValidations count="5">
    <dataValidation type="whole" allowBlank="1" showInputMessage="1" showErrorMessage="1" sqref="D12:E12">
      <formula1>-1</formula1>
      <formula2>D10*2</formula2>
    </dataValidation>
    <dataValidation type="whole" operator="greaterThan" allowBlank="1" showInputMessage="1" showErrorMessage="1" sqref="D13:E15 D16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1:E11">
      <formula1>1</formula1>
      <formula2>4</formula2>
    </dataValidation>
  </dataValidations>
  <hyperlinks>
    <hyperlink ref="J52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ignoredErrors>
    <ignoredError sqref="C25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11E95E3-1AA3-42E9-87C9-763EB0071AB3}">
            <xm:f>$C$35='Видимый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7DA82748-5B57-4C18-93CB-0EA53F35C49F}">
            <xm:f>$C$35='Видимый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4" id="{B41BA582-B011-4A5A-B4E0-9D90B4F37AEC}">
            <xm:f>$D$25='Видимый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D25:E25</xm:sqref>
        </x14:conditionalFormatting>
        <x14:conditionalFormatting xmlns:xm="http://schemas.microsoft.com/office/excel/2006/main">
          <x14:cfRule type="expression" priority="3" id="{DD364A56-EDF6-4EC0-B8EA-45590122B364}">
            <xm:f>$C$37='Видимый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iconSet" priority="5" id="{11D2B965-D1E5-40D9-A145-A951E12B771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expression" priority="1" id="{0DB9F9AF-3EC4-4264-B38C-213E74183AA7}">
            <xm:f>$C$38='Видимый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C38:D38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'Видимый верхний трек'!$S$10:$S$11</xm:f>
          </x14:formula1>
          <xm:sqref>B20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C29:C33</xm:sqref>
        </x14:dataValidation>
        <x14:dataValidation type="list" allowBlank="1" showInputMessage="1" showErrorMessage="1">
          <x14:formula1>
            <xm:f>'Видимый верхний трек'!$S$45:$S$49</xm:f>
          </x14:formula1>
          <xm:sqref>D9:E9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zoomScale="70" zoomScaleNormal="70" workbookViewId="0"/>
  </sheetViews>
  <sheetFormatPr defaultColWidth="9.140625" defaultRowHeight="18.75" x14ac:dyDescent="0.3"/>
  <cols>
    <col min="1" max="1" width="9.140625" style="4"/>
    <col min="2" max="3" width="42.7109375" style="4" customWidth="1"/>
    <col min="4" max="5" width="14.7109375" style="2" customWidth="1"/>
    <col min="6" max="6" width="3.7109375" style="4" customWidth="1"/>
    <col min="7" max="7" width="89.5703125" style="4" bestFit="1" customWidth="1"/>
    <col min="8" max="8" width="25.7109375" style="4" customWidth="1"/>
    <col min="9" max="9" width="16.7109375" style="4" customWidth="1"/>
    <col min="10" max="10" width="13.42578125" style="4" customWidth="1"/>
    <col min="11" max="16384" width="9.140625" style="4"/>
  </cols>
  <sheetData>
    <row r="1" spans="2:10" x14ac:dyDescent="0.3">
      <c r="C1" s="50"/>
    </row>
    <row r="2" spans="2:10" s="1" customFormat="1" ht="27.6" customHeight="1" x14ac:dyDescent="0.25">
      <c r="B2" s="178" t="s">
        <v>16</v>
      </c>
      <c r="C2" s="178"/>
      <c r="D2" s="178"/>
      <c r="E2" s="178"/>
      <c r="F2" s="178"/>
      <c r="G2" s="178"/>
      <c r="H2" s="178"/>
      <c r="I2" s="178"/>
      <c r="J2" s="178"/>
    </row>
    <row r="3" spans="2:10" s="13" customFormat="1" ht="26.1" customHeight="1" x14ac:dyDescent="0.25">
      <c r="B3" s="178"/>
      <c r="C3" s="178"/>
      <c r="D3" s="178"/>
      <c r="E3" s="178"/>
      <c r="F3" s="178"/>
      <c r="G3" s="178"/>
      <c r="H3" s="178"/>
      <c r="I3" s="178"/>
      <c r="J3" s="178"/>
    </row>
    <row r="4" spans="2:10" s="13" customFormat="1" ht="20.100000000000001" customHeight="1" x14ac:dyDescent="0.3">
      <c r="C4" s="14"/>
      <c r="D4" s="14"/>
      <c r="E4" s="14"/>
      <c r="G4" s="17"/>
      <c r="H4" s="17"/>
      <c r="I4" s="17"/>
      <c r="J4" s="17"/>
    </row>
    <row r="5" spans="2:10" s="13" customFormat="1" ht="20.100000000000001" customHeight="1" x14ac:dyDescent="0.25">
      <c r="B5" s="141" t="s">
        <v>12</v>
      </c>
      <c r="C5" s="141"/>
      <c r="D5" s="141"/>
      <c r="E5" s="141"/>
      <c r="G5" s="141" t="s">
        <v>11</v>
      </c>
      <c r="H5" s="141"/>
      <c r="I5" s="141"/>
      <c r="J5" s="141"/>
    </row>
    <row r="6" spans="2:10" s="13" customFormat="1" ht="20.100000000000001" customHeight="1" thickBot="1" x14ac:dyDescent="0.3">
      <c r="C6" s="22"/>
      <c r="D6" s="22"/>
      <c r="E6" s="22"/>
      <c r="G6" s="22"/>
      <c r="H6" s="22"/>
      <c r="I6" s="22"/>
      <c r="J6" s="22"/>
    </row>
    <row r="7" spans="2:10" s="1" customFormat="1" ht="20.100000000000001" customHeight="1" x14ac:dyDescent="0.25">
      <c r="B7" s="179" t="s">
        <v>0</v>
      </c>
      <c r="C7" s="185"/>
      <c r="D7" s="154">
        <v>2400</v>
      </c>
      <c r="E7" s="155"/>
      <c r="G7" s="144" t="s">
        <v>8</v>
      </c>
      <c r="H7" s="145"/>
      <c r="I7" s="8" t="s">
        <v>6</v>
      </c>
      <c r="J7" s="39">
        <f>D7-10-22</f>
        <v>2368</v>
      </c>
    </row>
    <row r="8" spans="2:10" s="1" customFormat="1" ht="20.100000000000001" customHeight="1" thickBot="1" x14ac:dyDescent="0.3">
      <c r="B8" s="186" t="s">
        <v>22</v>
      </c>
      <c r="C8" s="187"/>
      <c r="D8" s="156">
        <v>1800</v>
      </c>
      <c r="E8" s="157"/>
      <c r="G8" s="146"/>
      <c r="H8" s="147"/>
      <c r="I8" s="20" t="s">
        <v>7</v>
      </c>
      <c r="J8" s="40">
        <f>IF(AND(D18='Видимый верхний трек'!S20,D9='Видимый верхний трек'!S48),(D8-20+D11*12)/D10,IF(AND(D18='Видимый верхний трек'!S21,D9='Видимый верхний трек'!S48),(D8+D11*12)/D10,IF(D18='Видимый верхний трек'!S20,(D8-10+D11*12)/D10,(D8+D11*12)/D10)))</f>
        <v>901</v>
      </c>
    </row>
    <row r="9" spans="2:10" s="1" customFormat="1" ht="20.100000000000001" customHeight="1" x14ac:dyDescent="0.25">
      <c r="B9" s="160" t="s">
        <v>114</v>
      </c>
      <c r="C9" s="161"/>
      <c r="D9" s="156" t="s">
        <v>109</v>
      </c>
      <c r="E9" s="157"/>
      <c r="G9" s="11"/>
      <c r="H9" s="11"/>
      <c r="I9" s="18"/>
      <c r="J9" s="110"/>
    </row>
    <row r="10" spans="2:10" s="1" customFormat="1" ht="20.100000000000001" customHeight="1" thickBot="1" x14ac:dyDescent="0.3">
      <c r="B10" s="186" t="s">
        <v>1</v>
      </c>
      <c r="C10" s="187"/>
      <c r="D10" s="198">
        <f>IF(D9='Видимый верхний трек'!S45,2,IF(D9='Видимый верхний трек'!S46,3,IF(D9='Видимый верхний трек'!S47,4,IF(D9='Видимый верхний трек'!S48,4,IF(D9='Видимый верхний трек'!S49,5)))))</f>
        <v>2</v>
      </c>
      <c r="E10" s="199"/>
      <c r="G10" s="11"/>
      <c r="H10" s="11"/>
      <c r="I10" s="18"/>
      <c r="J10" s="41"/>
    </row>
    <row r="11" spans="2:10" s="1" customFormat="1" ht="20.100000000000001" customHeight="1" x14ac:dyDescent="0.3">
      <c r="B11" s="186" t="s">
        <v>2</v>
      </c>
      <c r="C11" s="187"/>
      <c r="D11" s="198">
        <f>IF(D9='Видимый верхний трек'!S45,1,IF(D9='Видимый верхний трек'!S46,2,IF(D9='Видимый верхний трек'!S47,3,IF(D9='Видимый верхний трек'!S48,2,IF(D9='Видимый верхний трек'!S49,4)))))</f>
        <v>1</v>
      </c>
      <c r="E11" s="199"/>
      <c r="G11" s="148" t="s">
        <v>115</v>
      </c>
      <c r="H11" s="149"/>
      <c r="I11" s="24" t="s">
        <v>13</v>
      </c>
      <c r="J11" s="39">
        <f>J7-1.6*D13-26*D14-3.5*2-D15*26</f>
        <v>2361</v>
      </c>
    </row>
    <row r="12" spans="2:10" s="1" customFormat="1" ht="20.100000000000001" customHeight="1" thickBot="1" x14ac:dyDescent="0.3">
      <c r="B12" s="186" t="s">
        <v>19</v>
      </c>
      <c r="C12" s="187"/>
      <c r="D12" s="196">
        <v>0</v>
      </c>
      <c r="E12" s="197"/>
      <c r="G12" s="150"/>
      <c r="H12" s="151"/>
      <c r="I12" s="20" t="s">
        <v>7</v>
      </c>
      <c r="J12" s="40">
        <f>J8-4</f>
        <v>897</v>
      </c>
    </row>
    <row r="13" spans="2:10" s="1" customFormat="1" ht="20.100000000000001" customHeight="1" thickBot="1" x14ac:dyDescent="0.3">
      <c r="B13" s="183" t="s">
        <v>30</v>
      </c>
      <c r="C13" s="184"/>
      <c r="D13" s="196">
        <v>0</v>
      </c>
      <c r="E13" s="197"/>
      <c r="G13" s="11"/>
      <c r="H13" s="11"/>
      <c r="I13" s="12"/>
      <c r="J13" s="23"/>
    </row>
    <row r="14" spans="2:10" s="1" customFormat="1" ht="20.100000000000001" customHeight="1" x14ac:dyDescent="0.25">
      <c r="B14" s="183" t="s">
        <v>31</v>
      </c>
      <c r="C14" s="184"/>
      <c r="D14" s="196">
        <v>0</v>
      </c>
      <c r="E14" s="197"/>
      <c r="G14" s="10" t="s">
        <v>3</v>
      </c>
      <c r="H14" s="66" t="s">
        <v>36</v>
      </c>
      <c r="I14" s="8" t="s">
        <v>4</v>
      </c>
      <c r="J14" s="9" t="s">
        <v>5</v>
      </c>
    </row>
    <row r="15" spans="2:10" s="1" customFormat="1" ht="20.100000000000001" customHeight="1" x14ac:dyDescent="0.25">
      <c r="B15" s="183" t="s">
        <v>32</v>
      </c>
      <c r="C15" s="184"/>
      <c r="D15" s="196">
        <v>0</v>
      </c>
      <c r="E15" s="197"/>
      <c r="G15" s="15" t="s">
        <v>70</v>
      </c>
      <c r="H15" s="70" t="s">
        <v>38</v>
      </c>
      <c r="I15" s="42">
        <f>D8-2</f>
        <v>1798</v>
      </c>
      <c r="J15" s="43">
        <v>1</v>
      </c>
    </row>
    <row r="16" spans="2:10" s="1" customFormat="1" ht="20.100000000000001" customHeight="1" x14ac:dyDescent="0.25">
      <c r="B16" s="183" t="s">
        <v>29</v>
      </c>
      <c r="C16" s="184"/>
      <c r="D16" s="196">
        <v>0</v>
      </c>
      <c r="E16" s="197"/>
      <c r="G16" s="15" t="s">
        <v>71</v>
      </c>
      <c r="H16" s="70" t="s">
        <v>40</v>
      </c>
      <c r="I16" s="42">
        <f>D8-2</f>
        <v>1798</v>
      </c>
      <c r="J16" s="43">
        <v>1</v>
      </c>
    </row>
    <row r="17" spans="2:10" s="1" customFormat="1" ht="20.100000000000001" customHeight="1" x14ac:dyDescent="0.25">
      <c r="B17" s="186" t="s">
        <v>33</v>
      </c>
      <c r="C17" s="187"/>
      <c r="D17" s="115">
        <v>140</v>
      </c>
      <c r="E17" s="116">
        <v>0</v>
      </c>
      <c r="G17" s="5" t="s">
        <v>72</v>
      </c>
      <c r="H17" s="70" t="s">
        <v>42</v>
      </c>
      <c r="I17" s="44">
        <f>J7</f>
        <v>2368</v>
      </c>
      <c r="J17" s="45">
        <f>D10*2</f>
        <v>4</v>
      </c>
    </row>
    <row r="18" spans="2:10" s="1" customFormat="1" ht="20.100000000000001" customHeight="1" thickBot="1" x14ac:dyDescent="0.3">
      <c r="B18" s="124" t="str">
        <f>'Видимый верхний трек'!B18:C18</f>
        <v>Уплотнитель полиуретановый на боковую поверхность двери</v>
      </c>
      <c r="C18" s="125"/>
      <c r="D18" s="171" t="s">
        <v>117</v>
      </c>
      <c r="E18" s="172"/>
      <c r="G18" s="5" t="s">
        <v>73</v>
      </c>
      <c r="H18" s="70" t="s">
        <v>44</v>
      </c>
      <c r="I18" s="44">
        <f>J8-2*5</f>
        <v>891</v>
      </c>
      <c r="J18" s="45">
        <f>(D13+2)*D10</f>
        <v>4</v>
      </c>
    </row>
    <row r="19" spans="2:10" s="1" customFormat="1" ht="20.100000000000001" customHeight="1" thickBot="1" x14ac:dyDescent="0.3">
      <c r="G19" s="5" t="s">
        <v>45</v>
      </c>
      <c r="H19" s="67" t="s">
        <v>46</v>
      </c>
      <c r="I19" s="44">
        <f>IF(J19&lt;&gt;0,I18,0)</f>
        <v>0</v>
      </c>
      <c r="J19" s="45">
        <f>D14*D10-IF(D14&gt;0,IF(E17&gt;0,D10,IF(D16&gt;0,D10,0)),0)</f>
        <v>0</v>
      </c>
    </row>
    <row r="20" spans="2:10" s="1" customFormat="1" ht="20.100000000000001" customHeight="1" x14ac:dyDescent="0.25">
      <c r="B20" s="179" t="s">
        <v>67</v>
      </c>
      <c r="C20" s="180"/>
      <c r="G20" s="5" t="s">
        <v>74</v>
      </c>
      <c r="H20" s="67" t="s">
        <v>46</v>
      </c>
      <c r="I20" s="44">
        <f>IF(J20&lt;&gt;0,I18-D17*E17-200*D16,0)</f>
        <v>0</v>
      </c>
      <c r="J20" s="45">
        <f>IF(D14&gt;0,IF(E17&gt;0,D10,IF(D16&gt;0,D10,0)),0)</f>
        <v>0</v>
      </c>
    </row>
    <row r="21" spans="2:10" s="1" customFormat="1" ht="20.100000000000001" customHeight="1" thickBot="1" x14ac:dyDescent="0.3">
      <c r="B21" s="194" t="s">
        <v>35</v>
      </c>
      <c r="C21" s="195"/>
      <c r="E21" s="37"/>
      <c r="G21" s="5" t="s">
        <v>65</v>
      </c>
      <c r="H21" s="67" t="s">
        <v>49</v>
      </c>
      <c r="I21" s="46">
        <f>J7-20</f>
        <v>2348</v>
      </c>
      <c r="J21" s="47">
        <f>IF(J8&lt;1000,D10*2,D10*3)</f>
        <v>4</v>
      </c>
    </row>
    <row r="22" spans="2:10" s="1" customFormat="1" ht="20.100000000000001" customHeight="1" x14ac:dyDescent="0.25">
      <c r="E22" s="37"/>
      <c r="G22" s="7" t="s">
        <v>75</v>
      </c>
      <c r="H22" s="71" t="s">
        <v>51</v>
      </c>
      <c r="I22" s="46">
        <f>IF(D15&lt;&gt;0,I18,0)</f>
        <v>0</v>
      </c>
      <c r="J22" s="47">
        <f>D15*D10</f>
        <v>0</v>
      </c>
    </row>
    <row r="23" spans="2:10" s="1" customFormat="1" ht="20.100000000000001" customHeight="1" x14ac:dyDescent="0.25">
      <c r="B23" s="112" t="s">
        <v>20</v>
      </c>
      <c r="C23" s="112"/>
      <c r="D23" s="112"/>
      <c r="E23" s="112"/>
      <c r="G23" s="5" t="s">
        <v>66</v>
      </c>
      <c r="H23" s="71" t="s">
        <v>51</v>
      </c>
      <c r="I23" s="44">
        <f>IF(E17&lt;&gt;0,D17,0)</f>
        <v>0</v>
      </c>
      <c r="J23" s="45">
        <f>E17*D10</f>
        <v>0</v>
      </c>
    </row>
    <row r="24" spans="2:10" s="1" customFormat="1" ht="20.100000000000001" customHeight="1" x14ac:dyDescent="0.25">
      <c r="G24" s="5" t="s">
        <v>53</v>
      </c>
      <c r="H24" s="71" t="s">
        <v>54</v>
      </c>
      <c r="I24" s="44">
        <f>IF(OR(E17&lt;&gt;0,D15&lt;&gt;0),23,0)</f>
        <v>0</v>
      </c>
      <c r="J24" s="45">
        <f>(E17+D15)*2*D10</f>
        <v>0</v>
      </c>
    </row>
    <row r="25" spans="2:10" s="1" customFormat="1" ht="20.100000000000001" customHeight="1" thickBot="1" x14ac:dyDescent="0.3">
      <c r="G25" s="29" t="s">
        <v>108</v>
      </c>
      <c r="H25" s="71" t="s">
        <v>55</v>
      </c>
      <c r="I25" s="81">
        <f>IF(AND(B21='Видимый верхний трек'!S10,OR(D13&lt;&gt;0,D14&lt;&gt;0,D15&lt;&gt;0)),150,0)</f>
        <v>0</v>
      </c>
      <c r="J25" s="45">
        <f>IF(B21='Видимый верхний трек'!S10,(D13*2+J19+J20+J22)*2,0)</f>
        <v>0</v>
      </c>
    </row>
    <row r="26" spans="2:10" s="1" customFormat="1" ht="20.100000000000001" customHeight="1" thickBot="1" x14ac:dyDescent="0.35">
      <c r="B26" s="86" t="s">
        <v>101</v>
      </c>
      <c r="C26" s="87">
        <f>SUM(D13:D15)+1</f>
        <v>1</v>
      </c>
      <c r="D26" s="176" t="str">
        <f>IF(C26&gt;5,'Видимый верхний трек'!S37,'Видимый верхний трек'!S38)</f>
        <v xml:space="preserve"> </v>
      </c>
      <c r="E26" s="177"/>
      <c r="G26" s="29" t="s">
        <v>108</v>
      </c>
      <c r="H26" s="71" t="s">
        <v>55</v>
      </c>
      <c r="I26" s="44">
        <f>IF(AND(B21='Видимый верхний трек'!S10,OR(D13&lt;&gt;0,D14&lt;&gt;0,D15&lt;&gt;0),J8&lt;1000),J8-45-300-80,0)</f>
        <v>0</v>
      </c>
      <c r="J26" s="45">
        <f>IF(AND(J8&lt;1000,B21='Видимый верхний трек'!S10),(D14+D13+D15)*D10,0)</f>
        <v>0</v>
      </c>
    </row>
    <row r="27" spans="2:10" s="1" customFormat="1" ht="20.100000000000001" customHeight="1" x14ac:dyDescent="0.3">
      <c r="B27" s="86"/>
      <c r="C27" s="18"/>
      <c r="D27" s="118"/>
      <c r="E27" s="117"/>
      <c r="G27" s="29" t="s">
        <v>108</v>
      </c>
      <c r="H27" s="71" t="s">
        <v>55</v>
      </c>
      <c r="I27" s="44">
        <f>IF(AND(B21='Видимый верхний трек'!S10,OR(D13&lt;&gt;0,D14&lt;&gt;0,D15&lt;&gt;0),J8&gt;=1000),(J8-45-300-120)/2,0)</f>
        <v>0</v>
      </c>
      <c r="J27" s="45">
        <f>IF(AND(J8&gt;=1000,B21='Видимый верхний трек'!S10),(D14+D13+D15)*D10*2,0)</f>
        <v>0</v>
      </c>
    </row>
    <row r="28" spans="2:10" s="1" customFormat="1" ht="20.100000000000001" customHeight="1" thickBot="1" x14ac:dyDescent="0.3">
      <c r="G28" s="29" t="s">
        <v>94</v>
      </c>
      <c r="H28" s="71" t="s">
        <v>90</v>
      </c>
      <c r="I28" s="81">
        <f>IF(OR(AND(C34='Видимый верхний трек'!S16,D34&lt;&gt;0),C30='Видимый верхний трек'!S16),J12-2-75,0)</f>
        <v>0</v>
      </c>
      <c r="J28" s="82">
        <f>IF(OR(AND(C30='Видимый верхний трек'!S16,D34=0),AND(C34='Видимый верхний трек'!S16,D34&lt;&gt;0,C30='Видимый верхний трек'!S16,D30&lt;&gt;0)),2,IF(OR(C30='Видимый верхний трек'!S16,AND(C34='Видимый верхний трек'!S16,D34&lt;&gt;0)),1,0))*D10</f>
        <v>0</v>
      </c>
    </row>
    <row r="29" spans="2:10" s="1" customFormat="1" ht="20.100000000000001" customHeight="1" x14ac:dyDescent="0.25">
      <c r="B29" s="91" t="s">
        <v>81</v>
      </c>
      <c r="C29" s="92" t="s">
        <v>85</v>
      </c>
      <c r="D29" s="92" t="s">
        <v>86</v>
      </c>
      <c r="E29" s="93" t="s">
        <v>87</v>
      </c>
      <c r="G29" s="29" t="s">
        <v>95</v>
      </c>
      <c r="H29" s="71" t="s">
        <v>89</v>
      </c>
      <c r="I29" s="81">
        <f>IF(OR(AND(C30='Видимый верхний трек'!S16,D30&lt;&gt;0),AND(C31='Видимый верхний трек'!S16,D31&lt;&gt;0),AND(C32='Видимый верхний трек'!S16,D32&lt;&gt;0),AND(C33='Видимый верхний трек'!S16,D33&lt;&gt;0),AND(C34='Видимый верхний трек'!S16,D34&lt;&gt;0)),J12-2-75,0)</f>
        <v>0</v>
      </c>
      <c r="J29" s="82">
        <f>IF(I29&lt;&gt;0,(IF(C30='Видимый верхний трек'!S16,1,0)+IF(AND(C30='Видимый верхний трек'!S16,D30&gt;=1000,D30&lt;1500),1,0)+IF(AND(C30='Видимый верхний трек'!S16,D30&gt;=1500,D30&lt;2000),2,0)+IF(AND(C30='Видимый верхний трек'!S16,D30&gt;=2000),3,0)+IF(AND(D31&lt;&gt;0,C31='Видимый верхний трек'!S16),2,0)+IF(AND(C31='Видимый верхний трек'!S16,D31&gt;=1000,D31&lt;1500),1,0)+IF(AND(C31='Видимый верхний трек'!S16,D31&gt;=1500,D31&lt;2000),2,0)+IF(AND(C31='Видимый верхний трек'!S16,D31&gt;=2000),3,0)+IF(AND(D32&lt;&gt;0,C32='Видимый верхний трек'!S16),2,0)+IF(AND(C32='Видимый верхний трек'!S16,D32&gt;=1000,D32&lt;1500),1,0)+IF(AND(C32='Видимый верхний трек'!S16,D32&gt;=1500,D32&lt;2000),2,0)+IF(AND(C32='Видимый верхний трек'!S16,D32&gt;=2000),3,0)+IF(AND(D33&lt;&gt;0,C33='Видимый верхний трек'!S16),2,0)+IF(AND(C33='Видимый верхний трек'!S16,D33&gt;=1000,D33&lt;1500),1,0)+IF(AND(C33='Видимый верхний трек'!S16,D33&gt;=1500,D33&lt;2000),2,0)+IF(AND(C33='Видимый верхний трек'!S16,D33&gt;=2000),3,0)+IF(AND(D34&lt;&gt;0,C34='Видимый верхний трек'!S16),1,0)+IF(AND(C34='Видимый верхний трек'!S16,D34&gt;=1000,D34&lt;1500),1,0)+IF(AND(C34='Видимый верхний трек'!S16,D34&gt;=1500,D34&lt;2000),2,0)+IF(AND(C34='Видимый верхний трек'!S16,D34&gt;=2000),3,0))*D10,0)</f>
        <v>0</v>
      </c>
    </row>
    <row r="30" spans="2:10" s="1" customFormat="1" ht="20.100000000000001" customHeight="1" x14ac:dyDescent="0.25">
      <c r="B30" s="5" t="s">
        <v>102</v>
      </c>
      <c r="C30" s="80" t="s">
        <v>88</v>
      </c>
      <c r="D30" s="85">
        <f>J11-SUM(D31:D34)</f>
        <v>2361</v>
      </c>
      <c r="E30" s="94">
        <f>IF(C30='Видимый верхний трек'!S16,$J$12-2,$J$12)</f>
        <v>897</v>
      </c>
      <c r="F30" s="88">
        <f>IF(D30&lt;&gt;0,1,0)</f>
        <v>1</v>
      </c>
      <c r="G30" s="29" t="s">
        <v>96</v>
      </c>
      <c r="H30" s="71" t="s">
        <v>89</v>
      </c>
      <c r="I30" s="81">
        <f>IF(C30='Видимый верхний трек'!S16,D30,0)</f>
        <v>0</v>
      </c>
      <c r="J30" s="82">
        <f>IF(I30&lt;&gt;0,IF(C30='Видимый верхний трек'!S16,2,0)*D10,0)</f>
        <v>0</v>
      </c>
    </row>
    <row r="31" spans="2:10" s="1" customFormat="1" ht="20.100000000000001" customHeight="1" x14ac:dyDescent="0.25">
      <c r="B31" s="5" t="s">
        <v>82</v>
      </c>
      <c r="C31" s="80" t="s">
        <v>88</v>
      </c>
      <c r="D31" s="84">
        <v>0</v>
      </c>
      <c r="E31" s="94">
        <f>IF(C31='Видимый верхний трек'!S16,$J$12-2,$J$12)</f>
        <v>897</v>
      </c>
      <c r="F31" s="88">
        <f t="shared" ref="F31:F34" si="0">IF(D31&lt;&gt;0,1,0)</f>
        <v>0</v>
      </c>
      <c r="G31" s="29" t="s">
        <v>97</v>
      </c>
      <c r="H31" s="71" t="s">
        <v>89</v>
      </c>
      <c r="I31" s="81">
        <f>IF(C31='Видимый верхний трек'!S16,D31,0)</f>
        <v>0</v>
      </c>
      <c r="J31" s="82">
        <f>IF(I31&lt;&gt;0,IF(C31='Видимый верхний трек'!S16,2,0)*D10,0)</f>
        <v>0</v>
      </c>
    </row>
    <row r="32" spans="2:10" s="1" customFormat="1" ht="20.100000000000001" customHeight="1" x14ac:dyDescent="0.25">
      <c r="B32" s="5" t="s">
        <v>83</v>
      </c>
      <c r="C32" s="80" t="s">
        <v>88</v>
      </c>
      <c r="D32" s="84">
        <v>0</v>
      </c>
      <c r="E32" s="94">
        <f>IF(C32='Видимый верхний трек'!S16,$J$12-2,$J$12)</f>
        <v>897</v>
      </c>
      <c r="F32" s="88">
        <f t="shared" si="0"/>
        <v>0</v>
      </c>
      <c r="G32" s="29" t="s">
        <v>98</v>
      </c>
      <c r="H32" s="71" t="s">
        <v>89</v>
      </c>
      <c r="I32" s="81">
        <f>IF(C32='Видимый верхний трек'!S16,D32,0)</f>
        <v>0</v>
      </c>
      <c r="J32" s="82">
        <f>IF(I32&lt;&gt;0,IF(C32='Видимый верхний трек'!S16,2,0)*D10,0)</f>
        <v>0</v>
      </c>
    </row>
    <row r="33" spans="2:10" s="1" customFormat="1" ht="20.100000000000001" customHeight="1" x14ac:dyDescent="0.25">
      <c r="B33" s="5" t="s">
        <v>84</v>
      </c>
      <c r="C33" s="80" t="s">
        <v>88</v>
      </c>
      <c r="D33" s="84">
        <v>0</v>
      </c>
      <c r="E33" s="94">
        <f>IF(C33='Видимый верхний трек'!S16,$J$12-2,$J$12)</f>
        <v>897</v>
      </c>
      <c r="F33" s="88">
        <f t="shared" si="0"/>
        <v>0</v>
      </c>
      <c r="G33" s="29" t="s">
        <v>99</v>
      </c>
      <c r="H33" s="71" t="s">
        <v>89</v>
      </c>
      <c r="I33" s="81">
        <f>IF(C33='Видимый верхний трек'!S16,D33,0)</f>
        <v>0</v>
      </c>
      <c r="J33" s="82">
        <f>IF(I33&lt;&gt;0,IF(C33='Видимый верхний трек'!S16,2,0)*D10,0)</f>
        <v>0</v>
      </c>
    </row>
    <row r="34" spans="2:10" s="1" customFormat="1" ht="20.100000000000001" customHeight="1" thickBot="1" x14ac:dyDescent="0.3">
      <c r="B34" s="119" t="s">
        <v>103</v>
      </c>
      <c r="C34" s="95" t="s">
        <v>88</v>
      </c>
      <c r="D34" s="96">
        <v>0</v>
      </c>
      <c r="E34" s="97">
        <f>IF(C34='Видимый верхний трек'!S16,$J$12-2,$J$12)</f>
        <v>897</v>
      </c>
      <c r="F34" s="88">
        <f t="shared" si="0"/>
        <v>0</v>
      </c>
      <c r="G34" s="29" t="s">
        <v>100</v>
      </c>
      <c r="H34" s="71" t="s">
        <v>89</v>
      </c>
      <c r="I34" s="81">
        <f>IF(C34='Видимый верхний трек'!S16,D34,0)</f>
        <v>0</v>
      </c>
      <c r="J34" s="82">
        <f>IF(I34&lt;&gt;0,IF(C34='Видимый верхний трек'!S16,2,0)*D10,0)</f>
        <v>0</v>
      </c>
    </row>
    <row r="35" spans="2:10" s="1" customFormat="1" ht="20.100000000000001" customHeight="1" thickBot="1" x14ac:dyDescent="0.3">
      <c r="G35" s="103"/>
      <c r="H35" s="104"/>
      <c r="I35" s="105"/>
      <c r="J35" s="106"/>
    </row>
    <row r="36" spans="2:10" s="1" customFormat="1" ht="20.100000000000001" customHeight="1" x14ac:dyDescent="0.25">
      <c r="C36" s="52" t="str">
        <f>IF((SUM(F30:F34)/C26)&lt;&gt;1,'Видимый верхний трек'!S33,'Видимый верхний трек'!S34)</f>
        <v>Верно внесены высоты вставок</v>
      </c>
      <c r="D36" s="112">
        <f>IF(C36='Видимый верхний трек'!S34,1,0)</f>
        <v>1</v>
      </c>
      <c r="G36" s="16" t="s">
        <v>9</v>
      </c>
      <c r="H36" s="66" t="s">
        <v>36</v>
      </c>
      <c r="I36" s="200" t="s">
        <v>5</v>
      </c>
      <c r="J36" s="201"/>
    </row>
    <row r="37" spans="2:10" s="1" customFormat="1" ht="20.100000000000001" customHeight="1" x14ac:dyDescent="0.25">
      <c r="G37" s="5" t="s">
        <v>58</v>
      </c>
      <c r="H37" s="67" t="s">
        <v>59</v>
      </c>
      <c r="I37" s="202">
        <f>IF(J8&gt;=1000,D10*1.5,D10)</f>
        <v>2</v>
      </c>
      <c r="J37" s="203"/>
    </row>
    <row r="38" spans="2:10" s="1" customFormat="1" ht="20.100000000000001" customHeight="1" x14ac:dyDescent="0.25">
      <c r="C38" s="175" t="str">
        <f>IF(OR(AND(C30='Видимый верхний трек'!S16,D30&lt;130,D30&lt;&gt;0),AND(C31='Видимый верхний трек'!S16,D31&lt;130,D31&lt;&gt;0),AND(C32='Видимый верхний трек'!S16,D32&lt;130,D32&lt;&gt;0),AND(C33='Видимый верхний трек'!S16,D33&lt;130,D33&lt;&gt;0),AND(C34='Видимый верхний трек'!S16,D34&lt;130,D34&lt;&gt;0)),'Видимый верхний трек'!S39,'Видимый верхний трек'!S40)</f>
        <v xml:space="preserve"> </v>
      </c>
      <c r="D38" s="175"/>
      <c r="G38" s="5" t="s">
        <v>15</v>
      </c>
      <c r="H38" s="67" t="s">
        <v>69</v>
      </c>
      <c r="I38" s="126">
        <f>D10*2+D12</f>
        <v>4</v>
      </c>
      <c r="J38" s="127"/>
    </row>
    <row r="39" spans="2:10" s="1" customFormat="1" ht="20.100000000000001" customHeight="1" x14ac:dyDescent="0.25">
      <c r="G39" s="5" t="s">
        <v>60</v>
      </c>
      <c r="H39" s="67" t="s">
        <v>61</v>
      </c>
      <c r="I39" s="126">
        <f>D16*D10</f>
        <v>0</v>
      </c>
      <c r="J39" s="127"/>
    </row>
    <row r="40" spans="2:10" s="1" customFormat="1" ht="20.100000000000001" customHeight="1" x14ac:dyDescent="0.25">
      <c r="C40" s="192" t="str">
        <f>IF(AND(SUM(F30:F34)/C26=1,D34=0,C26&lt;&gt;1),'Видимый верхний трек'!S52,'Видимый верхний трек'!S53)</f>
        <v xml:space="preserve"> </v>
      </c>
      <c r="D40" s="192"/>
      <c r="E40" s="64"/>
      <c r="G40" s="5" t="s">
        <v>17</v>
      </c>
      <c r="H40" s="67" t="s">
        <v>62</v>
      </c>
      <c r="I40" s="126">
        <f>D12</f>
        <v>0</v>
      </c>
      <c r="J40" s="127"/>
    </row>
    <row r="41" spans="2:10" s="1" customFormat="1" ht="20.100000000000001" customHeight="1" x14ac:dyDescent="0.25">
      <c r="E41" s="64"/>
      <c r="G41" s="5" t="s">
        <v>18</v>
      </c>
      <c r="H41" s="67" t="s">
        <v>63</v>
      </c>
      <c r="I41" s="126">
        <f>D10*2-D12</f>
        <v>4</v>
      </c>
      <c r="J41" s="127"/>
    </row>
    <row r="42" spans="2:10" s="1" customFormat="1" ht="20.100000000000001" customHeight="1" x14ac:dyDescent="0.25">
      <c r="E42" s="64"/>
      <c r="G42" s="5" t="s">
        <v>28</v>
      </c>
      <c r="H42" s="67"/>
      <c r="I42" s="163">
        <f>CEILING((J17-2)*J7/1000,1)</f>
        <v>5</v>
      </c>
      <c r="J42" s="164"/>
    </row>
    <row r="43" spans="2:10" s="1" customFormat="1" ht="20.100000000000001" customHeight="1" x14ac:dyDescent="0.25">
      <c r="C43" s="193" t="s">
        <v>14</v>
      </c>
      <c r="D43" s="113"/>
      <c r="E43" s="64"/>
      <c r="G43" s="5" t="s">
        <v>10</v>
      </c>
      <c r="H43" s="67" t="s">
        <v>64</v>
      </c>
      <c r="I43" s="163">
        <f>CEILING(I16*2/1000,1)</f>
        <v>4</v>
      </c>
      <c r="J43" s="164"/>
    </row>
    <row r="44" spans="2:10" s="1" customFormat="1" ht="20.100000000000001" customHeight="1" x14ac:dyDescent="0.25">
      <c r="C44" s="193"/>
      <c r="D44" s="113"/>
      <c r="G44" s="31" t="str">
        <f>B18</f>
        <v>Уплотнитель полиуретановый на боковую поверхность двери</v>
      </c>
      <c r="H44" s="78" t="s">
        <v>76</v>
      </c>
      <c r="I44" s="163">
        <f>IF(D18='Видимый верхний трек'!S20,CEILING(J17*J7/1000,1),0)</f>
        <v>10</v>
      </c>
      <c r="J44" s="164"/>
    </row>
    <row r="45" spans="2:10" s="1" customFormat="1" ht="20.100000000000001" customHeight="1" x14ac:dyDescent="0.25">
      <c r="F45" s="51"/>
      <c r="G45" s="74" t="s">
        <v>35</v>
      </c>
      <c r="H45" s="70" t="s">
        <v>57</v>
      </c>
      <c r="I45" s="126">
        <f>IF(B21='Видимый верхний трек'!S11,ROUND((D16+E17)*D10*4+(J8/300+1)*((D15+D14+D13)*2),1),0)</f>
        <v>0</v>
      </c>
      <c r="J45" s="127"/>
    </row>
    <row r="46" spans="2:10" s="1" customFormat="1" ht="20.100000000000001" customHeight="1" x14ac:dyDescent="0.25">
      <c r="C46" s="193" t="s">
        <v>27</v>
      </c>
      <c r="D46" s="113"/>
      <c r="F46" s="77"/>
      <c r="G46" s="74" t="s">
        <v>91</v>
      </c>
      <c r="H46" s="70" t="s">
        <v>93</v>
      </c>
      <c r="I46" s="136">
        <f>J28*4+J29*2</f>
        <v>0</v>
      </c>
      <c r="J46" s="137"/>
    </row>
    <row r="47" spans="2:10" s="1" customFormat="1" ht="20.100000000000001" customHeight="1" x14ac:dyDescent="0.25">
      <c r="C47" s="193"/>
      <c r="D47" s="113"/>
      <c r="F47" s="107"/>
      <c r="G47" s="114" t="s">
        <v>120</v>
      </c>
      <c r="H47" s="71" t="s">
        <v>116</v>
      </c>
      <c r="I47" s="138">
        <f>CEILING(SUM(I31*J31,I32*J32,I33*J33,I34*J34,I35*J35)/1000,1)</f>
        <v>0</v>
      </c>
      <c r="J47" s="139"/>
    </row>
    <row r="48" spans="2:10" s="1" customFormat="1" ht="20.100000000000001" customHeight="1" x14ac:dyDescent="0.25">
      <c r="C48" s="193"/>
      <c r="D48" s="113"/>
      <c r="F48" s="107"/>
      <c r="G48" s="5" t="s">
        <v>77</v>
      </c>
      <c r="H48" s="67"/>
      <c r="I48" s="126">
        <f>I18*J18/250</f>
        <v>14.256</v>
      </c>
      <c r="J48" s="127"/>
    </row>
    <row r="49" spans="2:10" ht="20.100000000000001" customHeight="1" x14ac:dyDescent="0.3">
      <c r="B49" s="1"/>
      <c r="C49" s="193"/>
      <c r="D49" s="113"/>
      <c r="E49" s="1"/>
      <c r="F49" s="1"/>
      <c r="G49" s="29" t="s">
        <v>78</v>
      </c>
      <c r="H49" s="67"/>
      <c r="I49" s="126">
        <f>IF(C30='Видимый верхний трек'!S15,(D30/250)*2*D10+IF(D34&lt;&gt;0,(E30/250)*D10,0)+I38*8+(D30/300)*2*J21,0)+IF(AND(C31='Видимый верхний трек'!S15,D31&lt;&gt;0),(D31/250)*2*D10+(E31/250)*D10*2+(D31/300)*2*J21,0)+IF(AND(C32='Видимый верхний трек'!S15,D32&lt;&gt;0),(D32/250)*2*D10+(E32/250)*D10*2+(D32/300)*2*J21,0)+IF(AND(C33='Видимый верхний трек'!S15,D33&lt;&gt;0),(D33/250)*2*D10+(E33/250)*D10*2+(D33/300)*2*J21,0)+IF(AND(C34='Видимый верхний трек'!S15,D34&lt;&gt;0),(D34/250)*2*D10+(E34/250)*D10*2+(D34/300)*2*J21+I37*8,0)+I19*J19/250+I20*J20/250</f>
        <v>132.73600000000002</v>
      </c>
      <c r="J49" s="127"/>
    </row>
    <row r="50" spans="2:10" ht="20.100000000000001" customHeight="1" x14ac:dyDescent="0.3">
      <c r="C50" s="193"/>
      <c r="D50" s="113"/>
      <c r="E50" s="112"/>
      <c r="F50" s="1"/>
      <c r="G50" s="5" t="s">
        <v>79</v>
      </c>
      <c r="H50" s="67"/>
      <c r="I50" s="126">
        <f>J24*2</f>
        <v>0</v>
      </c>
      <c r="J50" s="127"/>
    </row>
    <row r="51" spans="2:10" ht="20.100000000000001" customHeight="1" thickBot="1" x14ac:dyDescent="0.35">
      <c r="C51" s="113"/>
      <c r="D51" s="113"/>
      <c r="E51" s="1"/>
      <c r="F51" s="1"/>
      <c r="G51" s="6" t="s">
        <v>80</v>
      </c>
      <c r="H51" s="69"/>
      <c r="I51" s="128">
        <f>(J23*2+I22*J22/250+D16*2*D10)+IF(C30='Видимый верхний трек'!S16,(D30/250)*2*D10+IF(D34&lt;&gt;0,(E30/250)*D10,0)+I38*8+(D30/300)*2*J21,0)+IF(AND(C31='Видимый верхний трек'!S16,D31&lt;&gt;0),(D31/250)*2*D10+(E31/250)*D10*2+(D31/300)*2*J21,0)+IF(AND(C32='Видимый верхний трек'!S16,D32&lt;&gt;0),(D32/250)*2*D10+(E32/250)*D10*2+(D32/300)*2*J21,0)+IF(AND(C33='Видимый верхний трек'!S16,D33&lt;&gt;0),(D33/250)*2*D10+(E33/250)*D10*2+(D33/300)*2*J21,0)+IF(AND(C34='Видимый верхний трек'!S16,D34&lt;&gt;0),(D34/250)*2*D10+(E34/250)*D10*2+(D34/300)*2*J21+I37*8,0)</f>
        <v>0</v>
      </c>
      <c r="J51" s="129"/>
    </row>
    <row r="52" spans="2:10" ht="20.100000000000001" customHeight="1" x14ac:dyDescent="0.3">
      <c r="C52" s="1"/>
      <c r="D52" s="1"/>
      <c r="E52" s="1"/>
      <c r="F52" s="1"/>
    </row>
    <row r="53" spans="2:10" ht="20.100000000000001" customHeight="1" x14ac:dyDescent="0.3">
      <c r="D53" s="4"/>
      <c r="E53" s="4"/>
      <c r="J53" s="63" t="s">
        <v>34</v>
      </c>
    </row>
    <row r="54" spans="2:10" ht="21" customHeight="1" x14ac:dyDescent="0.3">
      <c r="D54" s="4"/>
      <c r="E54" s="4"/>
    </row>
    <row r="55" spans="2:10" ht="20.100000000000001" customHeight="1" x14ac:dyDescent="0.3">
      <c r="D55" s="4"/>
      <c r="E55" s="4"/>
    </row>
    <row r="56" spans="2:10" ht="21.75" customHeight="1" x14ac:dyDescent="0.3">
      <c r="D56" s="4"/>
      <c r="E56" s="4"/>
    </row>
    <row r="57" spans="2:10" ht="18" customHeight="1" x14ac:dyDescent="0.3">
      <c r="C57" s="19"/>
      <c r="D57" s="19"/>
      <c r="E57" s="4"/>
    </row>
    <row r="58" spans="2:10" x14ac:dyDescent="0.3">
      <c r="G58" s="25"/>
      <c r="H58" s="26"/>
    </row>
  </sheetData>
  <sheetProtection password="CC59" sheet="1" objects="1" scenarios="1"/>
  <mergeCells count="51">
    <mergeCell ref="G5:J5"/>
    <mergeCell ref="D7:E7"/>
    <mergeCell ref="B7:C7"/>
    <mergeCell ref="B9:C9"/>
    <mergeCell ref="D9:E9"/>
    <mergeCell ref="D13:E13"/>
    <mergeCell ref="D14:E14"/>
    <mergeCell ref="D11:E11"/>
    <mergeCell ref="D12:E12"/>
    <mergeCell ref="G11:H12"/>
    <mergeCell ref="I51:J51"/>
    <mergeCell ref="I36:J36"/>
    <mergeCell ref="I37:J37"/>
    <mergeCell ref="I45:J45"/>
    <mergeCell ref="I41:J41"/>
    <mergeCell ref="I42:J42"/>
    <mergeCell ref="I43:J43"/>
    <mergeCell ref="I44:J44"/>
    <mergeCell ref="I40:J40"/>
    <mergeCell ref="I39:J39"/>
    <mergeCell ref="I38:J38"/>
    <mergeCell ref="I49:J49"/>
    <mergeCell ref="I50:J50"/>
    <mergeCell ref="I47:J47"/>
    <mergeCell ref="I46:J46"/>
    <mergeCell ref="I48:J48"/>
    <mergeCell ref="B14:C14"/>
    <mergeCell ref="B15:C15"/>
    <mergeCell ref="B16:C16"/>
    <mergeCell ref="B17:C17"/>
    <mergeCell ref="B2:J3"/>
    <mergeCell ref="B5:E5"/>
    <mergeCell ref="B8:C8"/>
    <mergeCell ref="B10:C10"/>
    <mergeCell ref="B11:C11"/>
    <mergeCell ref="B12:C12"/>
    <mergeCell ref="B13:C13"/>
    <mergeCell ref="D8:E8"/>
    <mergeCell ref="G7:H8"/>
    <mergeCell ref="D15:E15"/>
    <mergeCell ref="D16:E16"/>
    <mergeCell ref="D10:E10"/>
    <mergeCell ref="C43:C44"/>
    <mergeCell ref="C46:C50"/>
    <mergeCell ref="B18:C18"/>
    <mergeCell ref="D18:E18"/>
    <mergeCell ref="B20:C20"/>
    <mergeCell ref="B21:C21"/>
    <mergeCell ref="C40:D40"/>
    <mergeCell ref="C38:D38"/>
    <mergeCell ref="D26:E26"/>
  </mergeCells>
  <dataValidations count="5">
    <dataValidation type="whole" allowBlank="1" showInputMessage="1" showErrorMessage="1" sqref="D12">
      <formula1>-1</formula1>
      <formula2>D10*2</formula2>
    </dataValidation>
    <dataValidation type="whole" operator="greaterThan" allowBlank="1" showInputMessage="1" showErrorMessage="1" sqref="E15 D13:D16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1:E11">
      <formula1>1</formula1>
      <formula2>4</formula2>
    </dataValidation>
  </dataValidations>
  <hyperlinks>
    <hyperlink ref="J53" location="Оглавление!A1" display="оглавление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ignoredErrors>
    <ignoredError sqref="C26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BF7F5488-A634-4801-8645-66B6B780B6EA}">
            <xm:f>$C$36='Видимый верхний трек'!$S$33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7" id="{4EBD83DA-EDE0-4B77-9764-6F2E02A68BB5}">
            <xm:f>$C$36='Видимый верхний трек'!$S$34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4" id="{96CAF0FF-8281-41D7-A8E3-0F0987AF34EB}">
            <xm:f>$D$26='Видимый верхний трек'!$S$37</xm:f>
            <x14:dxf>
              <fill>
                <patternFill>
                  <bgColor rgb="FFFF0000"/>
                </patternFill>
              </fill>
            </x14:dxf>
          </x14:cfRule>
          <xm:sqref>D27:E27 D26</xm:sqref>
        </x14:conditionalFormatting>
        <x14:conditionalFormatting xmlns:xm="http://schemas.microsoft.com/office/excel/2006/main">
          <x14:cfRule type="expression" priority="3" id="{F0A76FAD-8714-4A45-ACCF-34E78E5EF0E2}">
            <xm:f>$C$38='Видимый верхний трек'!$S$39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iconSet" priority="5" id="{A95C81BD-99AE-4EBD-AB0E-D4CF59BF210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expression" priority="1" id="{8C846B41-D67A-4624-AF67-A4676C46184D}">
            <xm:f>$C$40='Видимый верхний трек'!$S$52</xm:f>
            <x14:dxf>
              <fill>
                <patternFill>
                  <bgColor rgb="FFFF0000"/>
                </patternFill>
              </fill>
            </x14:dxf>
          </x14:cfRule>
          <xm:sqref>C40:D40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'Видимый верхний трек'!$S$10:$S$11</xm:f>
          </x14:formula1>
          <xm:sqref>B21</xm:sqref>
        </x14:dataValidation>
        <x14:dataValidation type="list" allowBlank="1" showInputMessage="1" showErrorMessage="1">
          <x14:formula1>
            <xm:f>'Видимый верхний трек'!$S$15:$S$16</xm:f>
          </x14:formula1>
          <xm:sqref>C30:C34</xm:sqref>
        </x14:dataValidation>
        <x14:dataValidation type="list" allowBlank="1" showInputMessage="1" showErrorMessage="1">
          <x14:formula1>
            <xm:f>'Видимый верхний трек'!$S$45:$S$49</xm:f>
          </x14:formula1>
          <xm:sqref>D9:E9</xm:sqref>
        </x14:dataValidation>
        <x14:dataValidation type="list" allowBlank="1" showInputMessage="1" showErrorMessage="1">
          <x14:formula1>
            <xm:f>'Видимый верхний трек'!$S$20:$S$21</xm:f>
          </x14:formula1>
          <xm:sqref>D18:E18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Оглавление</vt:lpstr>
      <vt:lpstr>Видимый верхний трек</vt:lpstr>
      <vt:lpstr>Скрытый верхний трек, корпус</vt:lpstr>
      <vt:lpstr>Скрытый верхний трек, проем</vt:lpstr>
      <vt:lpstr>'Видимый верхний трек'!Область_печати</vt:lpstr>
      <vt:lpstr>'Скрытый верхний трек, корпус'!Область_печати</vt:lpstr>
      <vt:lpstr>'Скрытый верхний трек, проем'!Область_печати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2020-02-14T06:56:16Z</dcterms:modified>
</cp:coreProperties>
</file>